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5BD6E463-638F-40E5-906E-0D4371E4506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გეგმა 2020" sheetId="4" r:id="rId1"/>
    <sheet name="list" sheetId="7" r:id="rId2"/>
    <sheet name="budget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'გეგმა 2020'!$A$7:$AB$217</definedName>
    <definedName name="aaaaaaa">#REF!</definedName>
    <definedName name="aq">[1]НДС!$X$4:$AA$4</definedName>
    <definedName name="as">#REF!</definedName>
    <definedName name="bbbbb">[2]реестри!$F$62</definedName>
    <definedName name="cek">#REF!</definedName>
    <definedName name="charbi">#REF!</definedName>
    <definedName name="cul">#REF!</definedName>
    <definedName name="dfgdfh">#REF!</definedName>
    <definedName name="dfgfd">#REF!</definedName>
    <definedName name="dfghfgh">#REF!</definedName>
    <definedName name="dfgsdf">#REF!</definedName>
    <definedName name="djaami">#REF!</definedName>
    <definedName name="djam">#REF!</definedName>
    <definedName name="djanmrte">#REF!</definedName>
    <definedName name="djjjami">#REF!</definedName>
    <definedName name="ert">#REF!</definedName>
    <definedName name="fgh">#REF!</definedName>
    <definedName name="fhjjjh">#REF!</definedName>
    <definedName name="finansta">#REF!</definedName>
    <definedName name="forma">[3]ФОРМА!#REF!</definedName>
    <definedName name="gard">#REF!</definedName>
    <definedName name="Garemo">#REF!</definedName>
    <definedName name="Infrastruqtura">#REF!</definedName>
    <definedName name="iu">#REF!</definedName>
    <definedName name="JAMI">#REF!</definedName>
    <definedName name="Jand_program">#REF!</definedName>
    <definedName name="jandacva">#REF!</definedName>
    <definedName name="jlhkj">#REF!</definedName>
    <definedName name="kapit">#REF!</definedName>
    <definedName name="kapm">#REF!</definedName>
    <definedName name="khgj">#REF!</definedName>
    <definedName name="kultura">#REF!</definedName>
    <definedName name="l">#REF!</definedName>
    <definedName name="Mtavroba">#REF!</definedName>
    <definedName name="MVD">#REF!</definedName>
    <definedName name="nm">#REF!</definedName>
    <definedName name="Organisation">#REF!</definedName>
    <definedName name="po">#REF!</definedName>
    <definedName name="pp">#REF!</definedName>
    <definedName name="Print">#REF!</definedName>
    <definedName name="razmi">#REF!</definedName>
    <definedName name="rftjh">#REF!</definedName>
    <definedName name="rty">#REF!</definedName>
    <definedName name="rtyrtujh">#REF!</definedName>
    <definedName name="sabinao">#REF!</definedName>
    <definedName name="Sofeli">#REF!</definedName>
    <definedName name="sul">#REF!</definedName>
    <definedName name="svadasxva">#REF!</definedName>
    <definedName name="tele">#REF!</definedName>
    <definedName name="Transferti">#REF!</definedName>
    <definedName name="tyyu">#REF!</definedName>
    <definedName name="uShiSh">#REF!</definedName>
    <definedName name="xfgu">#REF!</definedName>
    <definedName name="гардамавали">#REF!</definedName>
    <definedName name="дата">#REF!</definedName>
    <definedName name="дж">#REF!</definedName>
    <definedName name="джами">#REF!</definedName>
    <definedName name="джамртелоба">#REF!</definedName>
    <definedName name="_xlnm.Print_Titles" localSheetId="0">'გეგმა 2020'!$6:$6</definedName>
    <definedName name="итоги">[1]НДС!$H$2</definedName>
    <definedName name="капиталури">#REF!</definedName>
    <definedName name="КАПМШ">#REF!</definedName>
    <definedName name="КОДИ">#REF!</definedName>
    <definedName name="култура">#REF!</definedName>
    <definedName name="м">#REF!</definedName>
    <definedName name="_xlnm.Print_Area" localSheetId="0">'გეგმა 2020'!$A$1:$H$217</definedName>
    <definedName name="РАЗМИ">#REF!</definedName>
    <definedName name="с3">[1]НДС!$D$3</definedName>
    <definedName name="сабинао">#REF!</definedName>
    <definedName name="сссс">#REF!</definedName>
    <definedName name="сул">#REF!</definedName>
    <definedName name="ТЕЛЕ">#REF!</definedName>
    <definedName name="трансф">#REF!</definedName>
    <definedName name="УШИШ">#REF!</definedName>
    <definedName name="ф">#REF!</definedName>
    <definedName name="фв2">[1]НДС!$C$2</definedName>
    <definedName name="Форма">[4]ФОРМА!#REF!</definedName>
    <definedName name="ЧАРБИ">#REF!</definedName>
  </definedNames>
  <calcPr calcId="191029"/>
</workbook>
</file>

<file path=xl/calcChain.xml><?xml version="1.0" encoding="utf-8"?>
<calcChain xmlns="http://schemas.openxmlformats.org/spreadsheetml/2006/main">
  <c r="E5" i="4" l="1"/>
  <c r="H176" i="4"/>
  <c r="N176" i="4"/>
  <c r="Q176" i="4"/>
  <c r="E92" i="4"/>
  <c r="N48" i="4"/>
  <c r="Q48" i="4"/>
  <c r="H48" i="4"/>
  <c r="E47" i="4"/>
  <c r="E82" i="4" l="1"/>
  <c r="E155" i="4"/>
  <c r="Q47" i="4"/>
  <c r="N47" i="4"/>
  <c r="H47" i="4"/>
  <c r="E46" i="4"/>
  <c r="Y46" i="4" s="1"/>
  <c r="N46" i="4"/>
  <c r="Q46" i="4"/>
  <c r="T46" i="4"/>
  <c r="H163" i="4" l="1"/>
  <c r="E62" i="4" l="1"/>
  <c r="Q84" i="4" l="1"/>
  <c r="N84" i="4"/>
  <c r="Q83" i="4"/>
  <c r="N83" i="4"/>
  <c r="Y60" i="4"/>
  <c r="Q60" i="4"/>
  <c r="N60" i="4"/>
  <c r="H60" i="4"/>
  <c r="Y50" i="4" l="1"/>
  <c r="T50" i="4"/>
  <c r="Q50" i="4"/>
  <c r="N50" i="4"/>
  <c r="E64" i="4"/>
  <c r="E12" i="4"/>
  <c r="V51" i="4" l="1"/>
  <c r="T30" i="4"/>
  <c r="V98" i="4"/>
  <c r="V72" i="4"/>
  <c r="V91" i="4"/>
  <c r="H178" i="4" l="1"/>
  <c r="Y178" i="4"/>
  <c r="T178" i="4"/>
  <c r="Q178" i="4"/>
  <c r="N178" i="4"/>
  <c r="H162" i="4" l="1"/>
  <c r="Y161" i="4" l="1"/>
  <c r="T161" i="4"/>
  <c r="Q161" i="4"/>
  <c r="N161" i="4"/>
  <c r="Y30" i="4" l="1"/>
  <c r="Q30" i="4"/>
  <c r="N30" i="4"/>
  <c r="H30" i="4"/>
  <c r="E74" i="4" l="1"/>
  <c r="E193" i="4" l="1"/>
  <c r="E76" i="4"/>
  <c r="E36" i="4"/>
  <c r="E108" i="4"/>
  <c r="E35" i="4"/>
  <c r="E134" i="4"/>
  <c r="E14" i="4"/>
  <c r="E40" i="4"/>
  <c r="E42" i="4"/>
  <c r="E136" i="4"/>
  <c r="E24" i="4"/>
  <c r="E26" i="4"/>
  <c r="E145" i="4"/>
  <c r="E208" i="4"/>
  <c r="E181" i="4"/>
  <c r="E196" i="4"/>
  <c r="E212" i="4"/>
  <c r="E203" i="4"/>
  <c r="E199" i="4"/>
  <c r="E217" i="4"/>
  <c r="E172" i="4"/>
  <c r="E175" i="4"/>
  <c r="E207" i="4"/>
  <c r="E170" i="4"/>
  <c r="E157" i="4"/>
  <c r="E213" i="4"/>
  <c r="Y87" i="4"/>
  <c r="Q87" i="4"/>
  <c r="N87" i="4"/>
  <c r="E86" i="4"/>
  <c r="H123" i="4"/>
  <c r="Y122" i="4"/>
  <c r="T122" i="4"/>
  <c r="Q122" i="4"/>
  <c r="N122" i="4"/>
  <c r="H122" i="4"/>
  <c r="V92" i="4"/>
  <c r="T92" i="4" s="1"/>
  <c r="Q92" i="4"/>
  <c r="N92" i="4"/>
  <c r="H92" i="4"/>
  <c r="Y61" i="4"/>
  <c r="Q61" i="4"/>
  <c r="N61" i="4"/>
  <c r="H61" i="4"/>
  <c r="V81" i="4"/>
  <c r="T81" i="4" s="1"/>
  <c r="Q81" i="4"/>
  <c r="N81" i="4"/>
  <c r="H81" i="4"/>
  <c r="E81" i="4"/>
  <c r="Y110" i="4"/>
  <c r="Q110" i="4"/>
  <c r="N110" i="4"/>
  <c r="Y81" i="4" l="1"/>
  <c r="Y92" i="4"/>
  <c r="V44" i="4" l="1"/>
  <c r="T168" i="4"/>
  <c r="V20" i="4"/>
  <c r="V86" i="4"/>
  <c r="V45" i="4"/>
  <c r="H168" i="4" l="1"/>
  <c r="Y168" i="4" l="1"/>
  <c r="Q168" i="4"/>
  <c r="N168" i="4"/>
  <c r="E120" i="4" l="1"/>
  <c r="Y66" i="4" l="1"/>
  <c r="T66" i="4"/>
  <c r="Q66" i="4"/>
  <c r="N66" i="4"/>
  <c r="Y62" i="4" l="1"/>
  <c r="Q62" i="4"/>
  <c r="N62" i="4"/>
  <c r="E149" i="4" l="1"/>
  <c r="K154" i="4" l="1"/>
  <c r="E154" i="4"/>
  <c r="H116" i="4"/>
  <c r="K155" i="4" l="1"/>
  <c r="E45" i="4" l="1"/>
  <c r="E138" i="4"/>
  <c r="Y115" i="4"/>
  <c r="T115" i="4"/>
  <c r="Q115" i="4"/>
  <c r="N115" i="4"/>
  <c r="Y193" i="4"/>
  <c r="Q193" i="4"/>
  <c r="N193" i="4"/>
  <c r="H193" i="4"/>
  <c r="Q105" i="4" l="1"/>
  <c r="N105" i="4"/>
  <c r="T98" i="4"/>
  <c r="Q89" i="4" l="1"/>
  <c r="N89" i="4"/>
  <c r="H89" i="4"/>
  <c r="Y89" i="4"/>
  <c r="Y124" i="4"/>
  <c r="Q124" i="4"/>
  <c r="N124" i="4"/>
  <c r="H124" i="4"/>
  <c r="E150" i="4" l="1"/>
  <c r="H73" i="4"/>
  <c r="T72" i="4"/>
  <c r="Q72" i="4"/>
  <c r="N72" i="4"/>
  <c r="E158" i="4"/>
  <c r="H113" i="4"/>
  <c r="Y112" i="4"/>
  <c r="T112" i="4"/>
  <c r="Q112" i="4"/>
  <c r="N112" i="4"/>
  <c r="H105" i="4"/>
  <c r="Y104" i="4"/>
  <c r="T104" i="4"/>
  <c r="Q104" i="4"/>
  <c r="N104" i="4"/>
  <c r="E104" i="4"/>
  <c r="N93" i="4"/>
  <c r="Q93" i="4"/>
  <c r="Q29" i="4"/>
  <c r="N29" i="4"/>
  <c r="N31" i="4"/>
  <c r="Q31" i="4"/>
  <c r="Y29" i="4"/>
  <c r="T29" i="4"/>
  <c r="H29" i="4"/>
  <c r="Q82" i="4"/>
  <c r="N82" i="4"/>
  <c r="Q85" i="4"/>
  <c r="N85" i="4"/>
  <c r="H99" i="4"/>
  <c r="Q98" i="4"/>
  <c r="N98" i="4"/>
  <c r="E98" i="4"/>
  <c r="Y98" i="4" s="1"/>
  <c r="H80" i="4"/>
  <c r="E79" i="4"/>
  <c r="Y79" i="4"/>
  <c r="T79" i="4"/>
  <c r="Q79" i="4"/>
  <c r="N79" i="4"/>
  <c r="H79" i="4"/>
  <c r="Y72" i="4" l="1"/>
  <c r="Y82" i="4"/>
  <c r="V147" i="4"/>
  <c r="E194" i="4" l="1"/>
  <c r="E159" i="4"/>
  <c r="E143" i="4"/>
  <c r="E141" i="4"/>
  <c r="E139" i="4"/>
  <c r="E130" i="4"/>
  <c r="E121" i="4"/>
  <c r="E118" i="4"/>
  <c r="E111" i="4"/>
  <c r="E107" i="4"/>
  <c r="E106" i="4"/>
  <c r="E103" i="4"/>
  <c r="E70" i="4"/>
  <c r="E54" i="4"/>
  <c r="E38" i="4"/>
  <c r="E37" i="4"/>
  <c r="E34" i="4"/>
  <c r="E19" i="4"/>
  <c r="E11" i="4"/>
  <c r="E9" i="4"/>
  <c r="E147" i="4" l="1"/>
  <c r="Q28" i="4"/>
  <c r="N28" i="4"/>
  <c r="H28" i="4"/>
  <c r="Q15" i="4" l="1"/>
  <c r="Q13" i="4"/>
  <c r="Y9" i="4" l="1"/>
  <c r="Y11" i="4"/>
  <c r="Y13" i="4"/>
  <c r="Y14" i="4"/>
  <c r="Y15" i="4"/>
  <c r="Y16" i="4"/>
  <c r="Y17" i="4"/>
  <c r="Y18" i="4"/>
  <c r="Y19" i="4"/>
  <c r="Y22" i="4"/>
  <c r="Y23" i="4"/>
  <c r="Y24" i="4"/>
  <c r="Y25" i="4"/>
  <c r="Y26" i="4"/>
  <c r="Y27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9" i="4"/>
  <c r="Y51" i="4"/>
  <c r="Y52" i="4"/>
  <c r="Y53" i="4"/>
  <c r="Y54" i="4"/>
  <c r="Y55" i="4"/>
  <c r="Y56" i="4"/>
  <c r="Y57" i="4"/>
  <c r="Y58" i="4"/>
  <c r="Y59" i="4"/>
  <c r="Y63" i="4"/>
  <c r="Y64" i="4"/>
  <c r="Y65" i="4"/>
  <c r="Y67" i="4"/>
  <c r="Y68" i="4"/>
  <c r="Y69" i="4"/>
  <c r="Y70" i="4"/>
  <c r="Y71" i="4"/>
  <c r="Y73" i="4"/>
  <c r="Y74" i="4"/>
  <c r="Y75" i="4"/>
  <c r="Y76" i="4"/>
  <c r="Y77" i="4"/>
  <c r="Y78" i="4"/>
  <c r="Y80" i="4"/>
  <c r="Y85" i="4"/>
  <c r="Y86" i="4"/>
  <c r="Y88" i="4"/>
  <c r="Y91" i="4"/>
  <c r="Y93" i="4"/>
  <c r="Y97" i="4"/>
  <c r="Y99" i="4"/>
  <c r="Y100" i="4"/>
  <c r="Y101" i="4"/>
  <c r="Y102" i="4"/>
  <c r="Y103" i="4"/>
  <c r="Y105" i="4"/>
  <c r="Y106" i="4"/>
  <c r="Y107" i="4"/>
  <c r="Y108" i="4"/>
  <c r="Y109" i="4"/>
  <c r="Y111" i="4"/>
  <c r="Y113" i="4"/>
  <c r="Y114" i="4"/>
  <c r="Y116" i="4"/>
  <c r="Y117" i="4"/>
  <c r="Y118" i="4"/>
  <c r="Y119" i="4"/>
  <c r="Y120" i="4"/>
  <c r="Y121" i="4"/>
  <c r="Y123" i="4"/>
  <c r="Y126" i="4"/>
  <c r="Y127" i="4"/>
  <c r="Y128" i="4"/>
  <c r="Y129" i="4"/>
  <c r="Y130" i="4"/>
  <c r="Y131" i="4"/>
  <c r="Y132" i="4"/>
  <c r="Y133" i="4"/>
  <c r="Y135" i="4"/>
  <c r="Y137" i="4"/>
  <c r="Y138" i="4"/>
  <c r="Y139" i="4"/>
  <c r="Y140" i="4"/>
  <c r="Y141" i="4"/>
  <c r="Y142" i="4"/>
  <c r="Y143" i="4"/>
  <c r="Y144" i="4"/>
  <c r="Y146" i="4"/>
  <c r="Y147" i="4"/>
  <c r="Y149" i="4"/>
  <c r="Y150" i="4"/>
  <c r="Y151" i="4"/>
  <c r="Y152" i="4"/>
  <c r="Y153" i="4"/>
  <c r="Y154" i="4"/>
  <c r="Y155" i="4"/>
  <c r="Y156" i="4"/>
  <c r="Y157" i="4"/>
  <c r="Y158" i="4"/>
  <c r="Y159" i="4"/>
  <c r="Y162" i="4"/>
  <c r="Y164" i="4"/>
  <c r="Y165" i="4"/>
  <c r="Y166" i="4"/>
  <c r="Y167" i="4"/>
  <c r="Y169" i="4"/>
  <c r="Y170" i="4"/>
  <c r="Y172" i="4"/>
  <c r="Y173" i="4"/>
  <c r="Y174" i="4"/>
  <c r="Y175" i="4"/>
  <c r="Y177" i="4"/>
  <c r="Y179" i="4"/>
  <c r="Y180" i="4"/>
  <c r="Y181" i="4"/>
  <c r="Y182" i="4"/>
  <c r="Y183" i="4"/>
  <c r="Y185" i="4"/>
  <c r="Y186" i="4"/>
  <c r="Y187" i="4"/>
  <c r="Y188" i="4"/>
  <c r="Y189" i="4"/>
  <c r="Y190" i="4"/>
  <c r="Y191" i="4"/>
  <c r="Y192" i="4"/>
  <c r="Y194" i="4"/>
  <c r="Y195" i="4"/>
  <c r="Y196" i="4"/>
  <c r="Y197" i="4"/>
  <c r="Y198" i="4"/>
  <c r="Y199" i="4"/>
  <c r="Y200" i="4"/>
  <c r="Y201" i="4"/>
  <c r="Y202" i="4"/>
  <c r="Y203" i="4"/>
  <c r="Y204" i="4"/>
  <c r="Y206" i="4"/>
  <c r="Y207" i="4"/>
  <c r="Y209" i="4"/>
  <c r="Y210" i="4"/>
  <c r="Y212" i="4"/>
  <c r="Y213" i="4"/>
  <c r="Y215" i="4"/>
  <c r="Y216" i="4"/>
  <c r="Y217" i="4"/>
  <c r="Y8" i="4"/>
  <c r="V214" i="4" l="1"/>
  <c r="T214" i="4" s="1"/>
  <c r="V96" i="4"/>
  <c r="T96" i="4" s="1"/>
  <c r="V95" i="4"/>
  <c r="T95" i="4" s="1"/>
  <c r="V90" i="4"/>
  <c r="Y90" i="4" s="1"/>
  <c r="V12" i="4"/>
  <c r="Y12" i="4" s="1"/>
  <c r="V10" i="4"/>
  <c r="Y10" i="4" s="1"/>
  <c r="T9" i="4"/>
  <c r="T11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9" i="4"/>
  <c r="T51" i="4"/>
  <c r="T52" i="4"/>
  <c r="T53" i="4"/>
  <c r="T54" i="4"/>
  <c r="T55" i="4"/>
  <c r="T56" i="4"/>
  <c r="T57" i="4"/>
  <c r="T58" i="4"/>
  <c r="T59" i="4"/>
  <c r="T63" i="4"/>
  <c r="T64" i="4"/>
  <c r="T65" i="4"/>
  <c r="T67" i="4"/>
  <c r="T68" i="4"/>
  <c r="T69" i="4"/>
  <c r="T70" i="4"/>
  <c r="T71" i="4"/>
  <c r="T73" i="4"/>
  <c r="T74" i="4"/>
  <c r="T75" i="4"/>
  <c r="T76" i="4"/>
  <c r="T77" i="4"/>
  <c r="T78" i="4"/>
  <c r="T80" i="4"/>
  <c r="T85" i="4"/>
  <c r="T86" i="4"/>
  <c r="T88" i="4"/>
  <c r="T91" i="4"/>
  <c r="T94" i="4"/>
  <c r="T97" i="4"/>
  <c r="T99" i="4"/>
  <c r="T100" i="4"/>
  <c r="T101" i="4"/>
  <c r="T102" i="4"/>
  <c r="T103" i="4"/>
  <c r="T105" i="4"/>
  <c r="T106" i="4"/>
  <c r="T107" i="4"/>
  <c r="T108" i="4"/>
  <c r="T109" i="4"/>
  <c r="T111" i="4"/>
  <c r="T113" i="4"/>
  <c r="T114" i="4"/>
  <c r="T116" i="4"/>
  <c r="T117" i="4"/>
  <c r="T118" i="4"/>
  <c r="T119" i="4"/>
  <c r="T120" i="4"/>
  <c r="T121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50" i="4"/>
  <c r="T151" i="4"/>
  <c r="T152" i="4"/>
  <c r="T153" i="4"/>
  <c r="T154" i="4"/>
  <c r="T155" i="4"/>
  <c r="T156" i="4"/>
  <c r="T157" i="4"/>
  <c r="T158" i="4"/>
  <c r="T159" i="4"/>
  <c r="T160" i="4"/>
  <c r="T162" i="4"/>
  <c r="T164" i="4"/>
  <c r="T165" i="4"/>
  <c r="T166" i="4"/>
  <c r="T167" i="4"/>
  <c r="T169" i="4"/>
  <c r="T170" i="4"/>
  <c r="T171" i="4"/>
  <c r="T172" i="4"/>
  <c r="T173" i="4"/>
  <c r="T174" i="4"/>
  <c r="T175" i="4"/>
  <c r="T177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5" i="4"/>
  <c r="T216" i="4"/>
  <c r="T8" i="4"/>
  <c r="T12" i="4" l="1"/>
  <c r="T90" i="4"/>
  <c r="T10" i="4"/>
  <c r="H85" i="4"/>
  <c r="Q158" i="4"/>
  <c r="N158" i="4"/>
  <c r="Q147" i="4"/>
  <c r="E96" i="4" l="1"/>
  <c r="Y96" i="4" s="1"/>
  <c r="H31" i="4"/>
  <c r="Q88" i="4"/>
  <c r="N88" i="4"/>
  <c r="H88" i="4"/>
  <c r="Q114" i="4" l="1"/>
  <c r="N114" i="4"/>
  <c r="Q108" i="4" l="1"/>
  <c r="N108" i="4"/>
  <c r="E95" i="4"/>
  <c r="Y95" i="4" s="1"/>
  <c r="Q119" i="4" l="1"/>
  <c r="Q211" i="4"/>
  <c r="N211" i="4"/>
  <c r="E211" i="4"/>
  <c r="Y211" i="4" s="1"/>
  <c r="Q195" i="4"/>
  <c r="N195" i="4"/>
  <c r="Q192" i="4"/>
  <c r="N192" i="4"/>
  <c r="Q164" i="4"/>
  <c r="N164" i="4"/>
  <c r="H164" i="4"/>
  <c r="Q123" i="4"/>
  <c r="N123" i="4"/>
  <c r="Q120" i="4"/>
  <c r="N120" i="4"/>
  <c r="H120" i="4"/>
  <c r="N119" i="4"/>
  <c r="H119" i="4"/>
  <c r="Q100" i="4"/>
  <c r="N100" i="4"/>
  <c r="H100" i="4"/>
  <c r="Q96" i="4"/>
  <c r="N96" i="4"/>
  <c r="H96" i="4"/>
  <c r="Q77" i="4"/>
  <c r="N77" i="4"/>
  <c r="Q204" i="4" l="1"/>
  <c r="Q179" i="4" l="1"/>
  <c r="N179" i="4"/>
  <c r="H179" i="4"/>
  <c r="Q8" i="4" l="1"/>
  <c r="N8" i="4"/>
  <c r="H8" i="4"/>
  <c r="Q210" i="4"/>
  <c r="N210" i="4"/>
  <c r="H210" i="4"/>
  <c r="E160" i="4" l="1"/>
  <c r="Y160" i="4" s="1"/>
  <c r="Q155" i="4"/>
  <c r="N155" i="4"/>
  <c r="H155" i="4"/>
  <c r="Q154" i="4"/>
  <c r="N154" i="4"/>
  <c r="H154" i="4"/>
  <c r="H146" i="4"/>
  <c r="X144" i="4"/>
  <c r="Q144" i="4"/>
  <c r="N144" i="4"/>
  <c r="H144" i="4"/>
  <c r="Q142" i="4"/>
  <c r="N142" i="4"/>
  <c r="H142" i="4"/>
  <c r="Q140" i="4"/>
  <c r="N140" i="4"/>
  <c r="H140" i="4"/>
  <c r="Q33" i="4"/>
  <c r="N33" i="4"/>
  <c r="H33" i="4"/>
  <c r="Q27" i="4"/>
  <c r="N27" i="4"/>
  <c r="H27" i="4"/>
  <c r="Q25" i="4"/>
  <c r="N25" i="4"/>
  <c r="H25" i="4"/>
  <c r="Q22" i="4"/>
  <c r="N22" i="4"/>
  <c r="H22" i="4"/>
  <c r="E21" i="4"/>
  <c r="Y21" i="4" s="1"/>
  <c r="Q18" i="4"/>
  <c r="N18" i="4"/>
  <c r="H18" i="4"/>
  <c r="E18" i="4"/>
  <c r="Q59" i="4" l="1"/>
  <c r="N201" i="4" l="1"/>
  <c r="Q32" i="4" l="1"/>
  <c r="N32" i="4"/>
  <c r="H32" i="4"/>
  <c r="Q201" i="4" l="1"/>
  <c r="H201" i="4"/>
  <c r="Y136" i="4" l="1"/>
  <c r="Q137" i="4" l="1"/>
  <c r="N137" i="4"/>
  <c r="H145" i="4"/>
  <c r="Q145" i="4"/>
  <c r="N145" i="4"/>
  <c r="Y145" i="4"/>
  <c r="Q181" i="4" l="1"/>
  <c r="N181" i="4"/>
  <c r="I1" i="4" l="1"/>
  <c r="Q128" i="4" l="1"/>
  <c r="N128" i="4"/>
  <c r="H128" i="4"/>
  <c r="E184" i="4"/>
  <c r="Y184" i="4" s="1"/>
  <c r="Q167" i="4"/>
  <c r="N167" i="4"/>
  <c r="Q162" i="4"/>
  <c r="N162" i="4"/>
  <c r="H209" i="4" l="1"/>
  <c r="E205" i="4"/>
  <c r="Y205" i="4" s="1"/>
  <c r="Y208" i="4"/>
  <c r="Q208" i="4"/>
  <c r="N208" i="4"/>
  <c r="H206" i="4"/>
  <c r="Q205" i="4" l="1"/>
  <c r="N205" i="4"/>
  <c r="H126" i="4" l="1"/>
  <c r="H127" i="4"/>
  <c r="Q126" i="4"/>
  <c r="N126" i="4"/>
  <c r="H184" i="4" l="1"/>
  <c r="Q184" i="4"/>
  <c r="N184" i="4"/>
  <c r="H177" i="4" l="1"/>
  <c r="Q177" i="4"/>
  <c r="N177" i="4"/>
  <c r="E177" i="4"/>
  <c r="Q206" i="4" l="1"/>
  <c r="N206" i="4"/>
  <c r="Q207" i="4"/>
  <c r="N207" i="4"/>
  <c r="N203" i="4"/>
  <c r="Q203" i="4"/>
  <c r="Q209" i="4"/>
  <c r="N209" i="4"/>
  <c r="Q182" i="4" l="1"/>
  <c r="N182" i="4"/>
  <c r="H182" i="4"/>
  <c r="H129" i="4" l="1"/>
  <c r="Q64" i="4"/>
  <c r="N64" i="4"/>
  <c r="Q20" i="4"/>
  <c r="N20" i="4"/>
  <c r="H20" i="4"/>
  <c r="E20" i="4"/>
  <c r="Q17" i="4"/>
  <c r="N17" i="4"/>
  <c r="H17" i="4"/>
  <c r="Q10" i="4"/>
  <c r="N10" i="4"/>
  <c r="H10" i="4"/>
  <c r="H11" i="4"/>
  <c r="Q217" i="4"/>
  <c r="N217" i="4"/>
  <c r="N132" i="4"/>
  <c r="N131" i="4"/>
  <c r="H19" i="4"/>
  <c r="Y20" i="4" l="1"/>
  <c r="Q49" i="4"/>
  <c r="N49" i="4"/>
  <c r="E49" i="4"/>
  <c r="Y134" i="4" l="1"/>
  <c r="Q165" i="4" l="1"/>
  <c r="N165" i="4"/>
  <c r="H165" i="4"/>
  <c r="Q71" i="4" l="1"/>
  <c r="N71" i="4"/>
  <c r="Q53" i="4"/>
  <c r="N53" i="4"/>
  <c r="N54" i="4"/>
  <c r="Q54" i="4"/>
  <c r="Q216" i="4" l="1"/>
  <c r="N216" i="4"/>
  <c r="H174" i="4" l="1"/>
  <c r="H76" i="4" l="1"/>
  <c r="Q103" i="4" l="1"/>
  <c r="N103" i="4"/>
  <c r="Q106" i="4"/>
  <c r="N106" i="4"/>
  <c r="Q107" i="4"/>
  <c r="N107" i="4"/>
  <c r="Q44" i="4" l="1"/>
  <c r="N44" i="4"/>
  <c r="Q131" i="4" l="1"/>
  <c r="Q191" i="4" l="1"/>
  <c r="N191" i="4"/>
  <c r="H191" i="4"/>
  <c r="Q56" i="4" l="1"/>
  <c r="N56" i="4"/>
  <c r="N57" i="4"/>
  <c r="Q57" i="4"/>
  <c r="N16" i="4"/>
  <c r="Q16" i="4"/>
  <c r="N14" i="4"/>
  <c r="N15" i="4"/>
  <c r="Q80" i="4" l="1"/>
  <c r="N80" i="4"/>
  <c r="Q111" i="4"/>
  <c r="N111" i="4"/>
  <c r="Q63" i="4"/>
  <c r="N63" i="4"/>
  <c r="N59" i="4"/>
  <c r="Q113" i="4"/>
  <c r="N113" i="4"/>
  <c r="Q97" i="4" l="1"/>
  <c r="N97" i="4"/>
  <c r="Q127" i="4" l="1"/>
  <c r="N127" i="4"/>
  <c r="Q189" i="4"/>
  <c r="Q188" i="4"/>
  <c r="N188" i="4"/>
  <c r="Q187" i="4"/>
  <c r="N187" i="4"/>
  <c r="Q186" i="4"/>
  <c r="N186" i="4"/>
  <c r="N189" i="4"/>
  <c r="Q185" i="4"/>
  <c r="N185" i="4"/>
  <c r="Q190" i="4"/>
  <c r="N190" i="4"/>
  <c r="H190" i="4"/>
  <c r="Q36" i="4"/>
  <c r="N36" i="4"/>
  <c r="H36" i="4"/>
  <c r="Q34" i="4"/>
  <c r="N34" i="4"/>
  <c r="H34" i="4"/>
  <c r="Q39" i="4" l="1"/>
  <c r="N39" i="4"/>
  <c r="Q76" i="4"/>
  <c r="N76" i="4"/>
  <c r="Q58" i="4"/>
  <c r="N58" i="4"/>
  <c r="Q102" i="4"/>
  <c r="N102" i="4"/>
  <c r="Q101" i="4" l="1"/>
  <c r="N101" i="4"/>
  <c r="N153" i="4"/>
  <c r="Q153" i="4"/>
  <c r="H153" i="4"/>
  <c r="E125" i="4"/>
  <c r="Y125" i="4" s="1"/>
  <c r="Q78" i="4" l="1"/>
  <c r="N78" i="4"/>
  <c r="H78" i="4"/>
  <c r="Q183" i="4" l="1"/>
  <c r="N183" i="4"/>
  <c r="H183" i="4"/>
  <c r="Q180" i="4"/>
  <c r="N180" i="4"/>
  <c r="H180" i="4"/>
  <c r="H37" i="4" l="1"/>
  <c r="Q23" i="4" l="1"/>
  <c r="N23" i="4"/>
  <c r="H23" i="4"/>
  <c r="N19" i="4" l="1"/>
  <c r="Q11" i="4"/>
  <c r="N11" i="4"/>
  <c r="H214" i="4" l="1"/>
  <c r="H173" i="4"/>
  <c r="H166" i="4"/>
  <c r="H152" i="4"/>
  <c r="H151" i="4"/>
  <c r="H149" i="4"/>
  <c r="H117" i="4"/>
  <c r="H94" i="4"/>
  <c r="H69" i="4"/>
  <c r="H68" i="4"/>
  <c r="H21" i="4"/>
  <c r="H9" i="4" l="1"/>
  <c r="H169" i="4" l="1"/>
  <c r="H150" i="4"/>
  <c r="H139" i="4"/>
  <c r="H125" i="4"/>
  <c r="H141" i="4"/>
  <c r="N141" i="4"/>
  <c r="Q141" i="4"/>
  <c r="Q143" i="4"/>
  <c r="N143" i="4"/>
  <c r="H143" i="4"/>
  <c r="N215" i="4"/>
  <c r="Q215" i="4"/>
  <c r="Q194" i="4"/>
  <c r="N194" i="4"/>
  <c r="N174" i="4"/>
  <c r="Q174" i="4"/>
  <c r="N172" i="4"/>
  <c r="Q172" i="4"/>
  <c r="N169" i="4"/>
  <c r="Q159" i="4"/>
  <c r="N159" i="4"/>
  <c r="Q156" i="4"/>
  <c r="N156" i="4"/>
  <c r="Q150" i="4" l="1"/>
  <c r="N150" i="4"/>
  <c r="N139" i="4" l="1"/>
  <c r="Q139" i="4"/>
  <c r="Q138" i="4"/>
  <c r="N138" i="4"/>
  <c r="Q135" i="4"/>
  <c r="N135" i="4"/>
  <c r="Q133" i="4"/>
  <c r="N133" i="4"/>
  <c r="Q130" i="4"/>
  <c r="N130" i="4"/>
  <c r="N125" i="4"/>
  <c r="Q125" i="4"/>
  <c r="Q121" i="4"/>
  <c r="N121" i="4"/>
  <c r="Q118" i="4" l="1"/>
  <c r="N118" i="4"/>
  <c r="H118" i="4"/>
  <c r="Q109" i="4"/>
  <c r="N109" i="4"/>
  <c r="Q95" i="4" l="1"/>
  <c r="N95" i="4"/>
  <c r="H95" i="4"/>
  <c r="Q75" i="4"/>
  <c r="N75" i="4"/>
  <c r="Q73" i="4"/>
  <c r="N73" i="4"/>
  <c r="Q70" i="4"/>
  <c r="N70" i="4"/>
  <c r="H70" i="4"/>
  <c r="Q67" i="4"/>
  <c r="N67" i="4"/>
  <c r="H67" i="4"/>
  <c r="Q65" i="4"/>
  <c r="N65" i="4"/>
  <c r="Q51" i="4"/>
  <c r="N51" i="4"/>
  <c r="Q43" i="4"/>
  <c r="N43" i="4"/>
  <c r="Q41" i="4"/>
  <c r="N41" i="4"/>
  <c r="N38" i="4"/>
  <c r="Q38" i="4"/>
  <c r="H38" i="4"/>
  <c r="Q37" i="4"/>
  <c r="N37" i="4"/>
  <c r="H35" i="4"/>
  <c r="Q35" i="4"/>
  <c r="N35" i="4"/>
  <c r="N26" i="4"/>
  <c r="Q26" i="4"/>
  <c r="N13" i="4"/>
  <c r="N12" i="4"/>
  <c r="Q12" i="4"/>
  <c r="Q202" i="4" l="1"/>
  <c r="N202" i="4"/>
  <c r="Q166" i="4" l="1"/>
  <c r="N166" i="4"/>
  <c r="Q55" i="4" l="1"/>
  <c r="N55" i="4"/>
  <c r="Q173" i="4" l="1"/>
  <c r="N173" i="4"/>
  <c r="Q136" i="4" l="1"/>
  <c r="N136" i="4"/>
  <c r="Q19" i="4" l="1"/>
  <c r="Q21" i="4"/>
  <c r="N21" i="4"/>
  <c r="Q151" i="4"/>
  <c r="N151" i="4"/>
  <c r="E94" i="4"/>
  <c r="Y94" i="4" s="1"/>
  <c r="Q146" i="4"/>
  <c r="N146" i="4"/>
  <c r="Q199" i="4"/>
  <c r="N199" i="4"/>
  <c r="E214" i="4"/>
  <c r="N214" i="4"/>
  <c r="Q214" i="4"/>
  <c r="E171" i="4"/>
  <c r="Y171" i="4" s="1"/>
  <c r="N24" i="4"/>
  <c r="N40" i="4"/>
  <c r="N42" i="4"/>
  <c r="N45" i="4"/>
  <c r="N52" i="4"/>
  <c r="N68" i="4"/>
  <c r="N69" i="4"/>
  <c r="N74" i="4"/>
  <c r="N86" i="4"/>
  <c r="N90" i="4"/>
  <c r="N91" i="4"/>
  <c r="N94" i="4"/>
  <c r="N99" i="4"/>
  <c r="N116" i="4"/>
  <c r="N117" i="4"/>
  <c r="N129" i="4"/>
  <c r="N134" i="4"/>
  <c r="N149" i="4"/>
  <c r="N152" i="4"/>
  <c r="N157" i="4"/>
  <c r="N160" i="4"/>
  <c r="N170" i="4"/>
  <c r="N171" i="4"/>
  <c r="N175" i="4"/>
  <c r="N196" i="4"/>
  <c r="N197" i="4"/>
  <c r="N198" i="4"/>
  <c r="N200" i="4"/>
  <c r="N212" i="4"/>
  <c r="N213" i="4"/>
  <c r="N9" i="4"/>
  <c r="Q52" i="4"/>
  <c r="Q175" i="4"/>
  <c r="Q91" i="4"/>
  <c r="Q14" i="4"/>
  <c r="Q24" i="4"/>
  <c r="Q40" i="4"/>
  <c r="Q42" i="4"/>
  <c r="Q45" i="4"/>
  <c r="Q68" i="4"/>
  <c r="Q69" i="4"/>
  <c r="Q74" i="4"/>
  <c r="Q86" i="4"/>
  <c r="Q90" i="4"/>
  <c r="Q94" i="4"/>
  <c r="Q99" i="4"/>
  <c r="Q116" i="4"/>
  <c r="Q117" i="4"/>
  <c r="Q129" i="4"/>
  <c r="Q132" i="4"/>
  <c r="Q134" i="4"/>
  <c r="Q149" i="4"/>
  <c r="Q152" i="4"/>
  <c r="Q157" i="4"/>
  <c r="Q160" i="4"/>
  <c r="Q169" i="4"/>
  <c r="Q170" i="4"/>
  <c r="Q171" i="4"/>
  <c r="Q196" i="4"/>
  <c r="Q197" i="4"/>
  <c r="Q198" i="4"/>
  <c r="Q200" i="4"/>
  <c r="Q212" i="4"/>
  <c r="Q213" i="4"/>
  <c r="Q9" i="4"/>
  <c r="Y214" i="4" l="1"/>
  <c r="I2" i="4"/>
  <c r="H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5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ვახომ გავარკვევოო</t>
        </r>
      </text>
    </comment>
    <comment ref="D5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უნდა იყოს ვახოს!</t>
        </r>
      </text>
    </comment>
  </commentList>
</comments>
</file>

<file path=xl/sharedStrings.xml><?xml version="1.0" encoding="utf-8"?>
<sst xmlns="http://schemas.openxmlformats.org/spreadsheetml/2006/main" count="1717" uniqueCount="727">
  <si>
    <t>შენიშვნა</t>
  </si>
  <si>
    <t>სავარაუდო ღირებულება</t>
  </si>
  <si>
    <t>შესყიდვის საშუალება</t>
  </si>
  <si>
    <t>სატელეფონო მომსახურება</t>
  </si>
  <si>
    <t>ლაბორატორიული 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</si>
  <si>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</t>
  </si>
  <si>
    <t>საწვავი</t>
  </si>
  <si>
    <t>სხვადასხვა საკვები პროდუქტები</t>
  </si>
  <si>
    <t>საოფისე მანქანები, კომპიუტერების, პრინტერებისა და ავეჯის გარდა</t>
  </si>
  <si>
    <t>საკანცელარიო საქონელი</t>
  </si>
  <si>
    <t>ტონერები და კარტრიჯები</t>
  </si>
  <si>
    <t>ჟურნალ-გაზეთები</t>
  </si>
  <si>
    <t>გასანათებელი მოწყობილობები და ელექტრო ნათურები</t>
  </si>
  <si>
    <t>ფარმაცევტული პროდუქტები</t>
  </si>
  <si>
    <t>პერსონალური კომპიუტერების, საოფისე აპარატურის, სატელეკომუნიკაციო და აუდიო-ვიზუალური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</si>
  <si>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სატელეკომუნიკაციო მომსახურებები</t>
  </si>
  <si>
    <t>ინტერნეტ მომსახურებები</t>
  </si>
  <si>
    <t>გამოძიებასთან და უსაფრთხოებასთან დაკავშირებული მომსახურებები</t>
  </si>
  <si>
    <t>ჯანდაცვის სამსახურის მომსახურებები</t>
  </si>
  <si>
    <t>დასუფთავება და სანიტარული ღონისძიებები</t>
  </si>
  <si>
    <t>მერიის ადმინისტრაციული შენობების დალაგება-დასუფთავების მომსახურება</t>
  </si>
  <si>
    <t>არაეთილირებული ბენზინი და დიზელის საწვავი</t>
  </si>
  <si>
    <t>ბაინდერები, საქაღალდეები, ფაილები</t>
  </si>
  <si>
    <t>საბიუჯეტო მუხლი</t>
  </si>
  <si>
    <t>ელექტრონული ტენდერი</t>
  </si>
  <si>
    <t>გამ. ელექტრონ. ტენდერი</t>
  </si>
  <si>
    <t>მინერალური წყლები</t>
  </si>
  <si>
    <t>სასმელები, თამბაქო და მონათესავე პროდუქტები</t>
  </si>
  <si>
    <t>პირადი ჰიგიენის პროდუქტები</t>
  </si>
  <si>
    <t>ყავა, ჩაი, შაქარი, საკონდიტრო ნაწარმი</t>
  </si>
  <si>
    <t>გამარტივებული შესყიდვა</t>
  </si>
  <si>
    <t>მე-3 მუხ. 1-ლი პუნქ. "ს" ქვეპუნ.</t>
  </si>
  <si>
    <t>ბრონქული ასთმით დაავადებულ პაციენტთა მედიკამენტებით უზრუნველყოფა</t>
  </si>
  <si>
    <t>დამატებითი ინფორმაცია</t>
  </si>
  <si>
    <t>პროგრამის კოდი</t>
  </si>
  <si>
    <t>შენობის მოწყობილობების შეკეთება და ტექნიკური მომსახურება</t>
  </si>
  <si>
    <t>მარკები, ქვითრების ფორმები, საკრედიტო ბილეთები, სააქციო სერთიფიკატები, ვაჭრობის სარეკლამო მასალა, კატალოგები და სახელმძღვანელოები</t>
  </si>
  <si>
    <t>პროგრამა "კოდექსის" განახლება</t>
  </si>
  <si>
    <t>ლარი</t>
  </si>
  <si>
    <t>№</t>
  </si>
  <si>
    <t xml:space="preserve">დანაყოფის კოდი </t>
  </si>
  <si>
    <t>შესყიდვების დაწყების სავარაუდო ვადები</t>
  </si>
  <si>
    <t>კონკურსი</t>
  </si>
  <si>
    <t>დანაყოფის დასახელება/შესყიდვის ობიექტი</t>
  </si>
  <si>
    <t>გაფორმებული ხელშეკრულება</t>
  </si>
  <si>
    <t>მიმწოდებელი</t>
  </si>
  <si>
    <t>საოფისე აპარატურის მიმდინარე რემონტი</t>
  </si>
  <si>
    <t>ხელსაწყოები, საკეტები, გასაღებები, ანჯამები, დამჭერები, ჭაჯვები და ზამბარები/რესორები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</si>
  <si>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</si>
  <si>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წყლის სისტემების რეაბილიტაცია</t>
  </si>
  <si>
    <t>კანალიზაციის სისტემების რეაბილიტაცია</t>
  </si>
  <si>
    <t>ქალაქის დაგეგმარება</t>
  </si>
  <si>
    <t>საკომპენსაციო თანხებით მოქალაქეთა უზრუნველყოფა</t>
  </si>
  <si>
    <t>კოდი</t>
  </si>
  <si>
    <t>დასახელება</t>
  </si>
  <si>
    <t>გაფორმებულია</t>
  </si>
  <si>
    <t>ხელშკერულების სტატუსი</t>
  </si>
  <si>
    <t>გამოცხადებულია</t>
  </si>
  <si>
    <t>არ გამოცხადებულა</t>
  </si>
  <si>
    <t>შესყიდვის მთლიანი თანხა</t>
  </si>
  <si>
    <t>წელი</t>
  </si>
  <si>
    <t>მე-10(1) მუხლ. მე-3 პუნქ. ”დ” ქვეპ.</t>
  </si>
  <si>
    <t>მე-10(1) მუხლ. მე-3 პუნქ. ”ბ” ქვეპ.</t>
  </si>
  <si>
    <t>მე-10(1) მუხლ. მე-3 პუნქ. ”ზ” ქვეპ.</t>
  </si>
  <si>
    <t>მე-10(1) მუხლ. მე-3 პუნქ. ”ა” ქვეპ.</t>
  </si>
  <si>
    <t>პროგრამის დასახელება</t>
  </si>
  <si>
    <t>თანხა სულ</t>
  </si>
  <si>
    <t>კანონის მუხლი, საფუძველი, შენიშვნა</t>
  </si>
  <si>
    <t>მე-10(1) მუხლ. მე-3 პუნქ. ”გ” ქვეპ.</t>
  </si>
  <si>
    <t>შერჩევა-შეფასება</t>
  </si>
  <si>
    <t>საქონლის მიწოდება, სამუშაოს შესრულება ან მომსახურების გაწევა მხოლოდ ერთი პირის ექსკლუზიური უფლებაა</t>
  </si>
  <si>
    <t>კანონის მუხლი</t>
  </si>
  <si>
    <t>შინაარსი</t>
  </si>
  <si>
    <t>არსებობს გადაუდებელი აუცილებლობა</t>
  </si>
  <si>
    <t xml:space="preserve"> მიმწოდებლისაგან შესყიდული ობიექტის ხარისხის გაუარესების თავიდან აცილების ან/და მისი შემდგომი ექსპლუატაციის უზრუნველყოფის მიზნით</t>
  </si>
  <si>
    <t>სახელმწიფოებრივი და საზოგადოებრივი მნიშვნელობის ღონისძიების შეზღუდულ ვადებში შეუფერხებლად ჩატარების მიზნით, საქართველოს პრეზიდენტის ან/და საქართველოს მთავრობის სამართლებრივი აქტით დადგინდა შესყიდვების განხორციელება</t>
  </si>
  <si>
    <t>ხორციელდება ერთი ან ერთზე მეტი ავტოსატრანსპორტო საშუალების, კომპიუტერული ტექნიკის, ასევე  შესაბამისი ნორმატიული აქტით განსაზღვრული ელექტროდანადგარის ახალი, იმავე ან გაუმჯობესებული პარამეტრების მქონე ერთი ან ერთზე მეტი ავტოსატრანსპორტო საშუალებით, კომპიუტერული ტექნიკით ან/და ელექტროდანადგარით ჩანაცვლება</t>
  </si>
  <si>
    <t>სახელმწიფო შესყიდვა ხორციელდება საქართველოს ნორმატიული აქტით დადგენილი გადასახდელების გადახდის გზით</t>
  </si>
  <si>
    <t>მე-10(1) მუხლ. მე-3 პუნქ. ”თ” ქვეპ.</t>
  </si>
  <si>
    <t>ორციელდება საქართველოს მთავრობის დადგენილებით განსაზღვრული წლოვანების ან/და პირობების მქონე გარანტიის ავტოსატრანსპორტო საშუალების ტექნიკური მომსახურების ან/და ასეთი მომსახურებისათვის საჭირო სათადარიგო ნაწილების ან/და საცხებ-საპოხი მასალების სახელმწიფო შესყიდვა</t>
  </si>
  <si>
    <t>სახელმწიფოს მიერ დაფუძნებული არასამეწარმეო (არაკომერციული) იურიდიული პირი − უმაღლესი საგანმანათლებლო დაწესებულება და უმაღლესი საგანმანათლებლო დაწესებულების განვითარების ფონდი ახორციელებენ ლიტერატურის (ბეჭდურის, ელექტრონულ ან აუდიოვიზუალურ მატარებელზე განთავსებულის) შესყიდვას</t>
  </si>
  <si>
    <t>მე-10(1) მუხლ. მე-3 პუნქ. ”ი” ქვეპ.</t>
  </si>
  <si>
    <t>მე-10(1) მუხლ. მე-3(1) პუნქტი</t>
  </si>
  <si>
    <t>მე-10(1) მუხლ. მე-3 პუნქ. ”ვ” ქვეპ.</t>
  </si>
  <si>
    <t>ხორციელდება წარმომადგენლობით ხარჯებთან დაკავშირებული სახელმწიფო შესყიდვა</t>
  </si>
  <si>
    <t>შესყიდვის საშუალება, რომელიც გამოიყენება 5 000 ლარამდე ღირებულების შესყიდვის ერთგვაროვანი ობიექტების  სახელმწიფო შესყიდვის შემთხვევაში</t>
  </si>
  <si>
    <r>
      <t xml:space="preserve">სახელმწიფოებრივი და საზოგადოებრივი მნიშვნელობის ღონისძიების შეზღუდულ ვადაში შეუფერხებლად ჩატარების მიზნით, საქართველოს პრეზიდენტის ან/და საქართველოს მთავრობის სამართლებრივი აქტით შესაძლებელია ერთი საბიუჯეტო წლის განმავლობაში დადგინდეს 200 000 ლარის ან 200 000 ლარზე მეტი ღირებულების შესყიდვის ერთგვაროვანი ობიექტების </t>
    </r>
    <r>
      <rPr>
        <sz val="10"/>
        <color rgb="FFFF0000"/>
        <rFont val="Calibri"/>
        <family val="2"/>
        <scheme val="minor"/>
      </rPr>
      <t>გამარტივებული ელექტრონული ტენდერის</t>
    </r>
    <r>
      <rPr>
        <sz val="10"/>
        <color theme="1"/>
        <rFont val="Calibri"/>
        <family val="2"/>
        <scheme val="minor"/>
      </rPr>
      <t xml:space="preserve"> მეშვეობით შესყიდვის განხორციელება</t>
    </r>
  </si>
  <si>
    <t>მე-10(1) მუხლ. მე-3 პუნქ. ”ე” ქვეპ.</t>
  </si>
  <si>
    <t>პარკინსონით დაავადებულ პირთა მედიკამენტებით უზრუნველყოფა</t>
  </si>
  <si>
    <t>სადაზღვევო და საპენსიო მომსახურებები</t>
  </si>
  <si>
    <t>მონაცემთა ბაზების მომსახურება</t>
  </si>
  <si>
    <t>01 02</t>
  </si>
  <si>
    <t>იზოლირებული მავთული და კაბელი</t>
  </si>
  <si>
    <t>ელექტროსადენები და აქსესუარები</t>
  </si>
  <si>
    <t>ელექტროენერგიის გამანაწილებელი და საკონტროლო აპარატურა</t>
  </si>
  <si>
    <t>ცვლილ. №</t>
  </si>
  <si>
    <t>საბეჭდი ქაღალდი</t>
  </si>
  <si>
    <t>ავეჯი</t>
  </si>
  <si>
    <t>კომპიუტერული და პერიფერიული ტექნიკის შეძენა</t>
  </si>
  <si>
    <t>სხვაობა</t>
  </si>
  <si>
    <t>შენობის მოწყობის სამუშოები</t>
  </si>
  <si>
    <t>საოფისე ავეჯისა და ინვენტარის შეძენა</t>
  </si>
  <si>
    <t>ქ. ბათუმის მერიის ბალანსზე რიცხული ავტომანქანების პარკირების საფასური</t>
  </si>
  <si>
    <t>ავტომობილებისა და მათთან დაკავშირებული მოწყობილობების შეკეთება და ტექნიკური მომსახურება</t>
  </si>
  <si>
    <t>04 00</t>
  </si>
  <si>
    <t>ძველი</t>
  </si>
  <si>
    <t>კონსოლიდირებ. ტენდერი</t>
  </si>
  <si>
    <t>ქ. ბათუმის მერიის ბალანსზე რიცხული ავტომობილების დაზღვევა</t>
  </si>
  <si>
    <t>სხვადასხვა ქარხნული წარმოების მასალა და მათთან დაკავშირებული საგნები</t>
  </si>
  <si>
    <t>სანტექნიკური მოწყობილობების შეძენა</t>
  </si>
  <si>
    <t>სამრეწველო საქონლის და ხელსაწყოების შეძენა</t>
  </si>
  <si>
    <t>საბავშვო ბაღების შენობების რეაბილიტაცია</t>
  </si>
  <si>
    <t>01 00</t>
  </si>
  <si>
    <t>წარმომადგენლობითი და აღმასრულებელი ორგანოების დაფინანსება</t>
  </si>
  <si>
    <t>03 01 01</t>
  </si>
  <si>
    <t>ბათუმში კომუნალური ინფრასტრუქტურის დაწესებულებათა რეაბილიტაციის პროექტის თანადაფინანსება</t>
  </si>
  <si>
    <t>03 03</t>
  </si>
  <si>
    <t>03 03 01</t>
  </si>
  <si>
    <t>03 03 02</t>
  </si>
  <si>
    <t>ბათუმის ისტორიული უბნებისა და ტურისტული ინფრასტრუქტურის რეაბილიტაცია</t>
  </si>
  <si>
    <t>განათლება</t>
  </si>
  <si>
    <t>05 00</t>
  </si>
  <si>
    <t>კულტურა, რელიგია, ახალგაზრდობის ხელშეწყობა და სპორტი</t>
  </si>
  <si>
    <t>05 01</t>
  </si>
  <si>
    <t>სპორტის განვითარების ხელშეწყობა</t>
  </si>
  <si>
    <t>05 02</t>
  </si>
  <si>
    <t>05 02 02</t>
  </si>
  <si>
    <t>05 03</t>
  </si>
  <si>
    <t>06 00</t>
  </si>
  <si>
    <t>მოსახლეობის ჯანმრთელობისა დაცვა და  სოციალური უზრუნველყოფა</t>
  </si>
  <si>
    <t>06 01</t>
  </si>
  <si>
    <t>ჯანმრთელობის დაცვა</t>
  </si>
  <si>
    <t>06 01 01</t>
  </si>
  <si>
    <t>06 01 02</t>
  </si>
  <si>
    <t>06 01 04</t>
  </si>
  <si>
    <t>ფსიქიური პრობლემების მქონე პირთა ფსიქო-სოციალური რეაბილიტაცია</t>
  </si>
  <si>
    <t>06 01 05</t>
  </si>
  <si>
    <t>06 01 07</t>
  </si>
  <si>
    <t>06 01 08</t>
  </si>
  <si>
    <t>06 01 09</t>
  </si>
  <si>
    <t>06 02</t>
  </si>
  <si>
    <t>სოციალური უზრუნველყოფა</t>
  </si>
  <si>
    <t>06 02 01</t>
  </si>
  <si>
    <t>06 02 04</t>
  </si>
  <si>
    <t>ეკონომიკური</t>
  </si>
  <si>
    <t>სამხედრო</t>
  </si>
  <si>
    <t>კეთილმოწყობა</t>
  </si>
  <si>
    <t>ჯანდაცვა</t>
  </si>
  <si>
    <t>საჯარიმო ქვითრები, სამართალდარღვევის ოქმები, სანებართვო მოწმობები, სარეკლამო მასალა და კატალოგები</t>
  </si>
  <si>
    <t>ქ. ბათუმის მერიის ობიექტების ინტერნეტ მომსახურება</t>
  </si>
  <si>
    <t>სატელევიზიო და რადიომომსახურებები</t>
  </si>
  <si>
    <t>სატელევიზიო საკაბელო მომსახურება</t>
  </si>
  <si>
    <t>სასმელი წყალი</t>
  </si>
  <si>
    <t>ბუნებრივი წყალი</t>
  </si>
  <si>
    <t>ელექტრო საქონლისა და ნათურების შეძენა</t>
  </si>
  <si>
    <t>სპეციალური კავშირგაბმულობის სისტემის მომსახურება</t>
  </si>
  <si>
    <t>ქ. ბათუმის მერიის ვებ გვერდის ჰოსტინგი და ინტერნეტდომენური სახელი</t>
  </si>
  <si>
    <t>სასტუმრო მომსახურება</t>
  </si>
  <si>
    <t>სარესტორნო და კვებითი მომსახურება</t>
  </si>
  <si>
    <t>სუვენირების შეძენა</t>
  </si>
  <si>
    <t>ქ. ბათუმის ტერიტორიაზე არსებული დაწესებულებების სანიტარული მონიტორინგი</t>
  </si>
  <si>
    <t>ქალაქ ბათუმის მუნიციპალიტეტის მერია</t>
  </si>
  <si>
    <t>03 04</t>
  </si>
  <si>
    <t>03 04 01</t>
  </si>
  <si>
    <t>ზოგადი განათლების ხელშეწყობა</t>
  </si>
  <si>
    <t>04 02</t>
  </si>
  <si>
    <t>04 02 01</t>
  </si>
  <si>
    <t>04 03</t>
  </si>
  <si>
    <t>04 03 01</t>
  </si>
  <si>
    <t>აპარატი</t>
  </si>
  <si>
    <t>აკუმულატორები, პირველადი ელემენტები და პირველადი ბატარეები</t>
  </si>
  <si>
    <t>კომპიუტერებისათვის უწყვეტი დენის წყაროს შეძენა</t>
  </si>
  <si>
    <t>მე-9 მუხლ. მე-3(1) პუნქტი ”ა” ქვეპ.</t>
  </si>
  <si>
    <t>შესყიდვის ცალ-ცალკე პროცედურებით განხორციელება გამოწვეულია გეოგრაფიული ფაქტორით ან/და გამართლებულია სახსრების რაციონალური ხარჯვის თვალსაზრისით</t>
  </si>
  <si>
    <t>საკომუნიკაციო ჭების მომსახურება</t>
  </si>
  <si>
    <t>არაფინანსური</t>
  </si>
  <si>
    <t>სსიპ 112-ის მომსახურება</t>
  </si>
  <si>
    <t>03 01 02</t>
  </si>
  <si>
    <t>ბათუმელი სპორტსმენების ინდივიდუალური განვითარების ხელშეწყობა</t>
  </si>
  <si>
    <t>ინტელექტუალური და შემეცნებითი პროექტების მხარდაჭერა</t>
  </si>
  <si>
    <t>შ.შ.მ. სტატუსის ბავშვთა და ვეტერანთა საკურორტო სამკურნალო-რეაბილიტაცია</t>
  </si>
  <si>
    <t>პროგრამული პაკეტების მომსახურე პროგრამები</t>
  </si>
  <si>
    <t>სატრენინგო მომსახურებები</t>
  </si>
  <si>
    <t>მემორიალების პროექტების შედგენა</t>
  </si>
  <si>
    <t>დანართი</t>
  </si>
  <si>
    <t>ნაწილები და აქსესუარები სატრანსპორტო საშუალებებისა და მათი ძრავებისათვის</t>
  </si>
  <si>
    <t>ავტომანქანების საბურავები</t>
  </si>
  <si>
    <t>საგზაო ინფრასტრუქტურის განვითარება</t>
  </si>
  <si>
    <t>გზების, ქუჩებისა და ტროტუარების მიმდინარე მოვლა-პატრონობა</t>
  </si>
  <si>
    <t>საგზაო ინფრასტრუქტურის რეაბილიტაცია და კაპიტალური მშენებლობა</t>
  </si>
  <si>
    <t>სანიაღვრე სისტემების რეაბილიტაცია და მოვლა-პატრონობა</t>
  </si>
  <si>
    <t>ქალაქის დასუფთავება და ნარჩენების გატანა</t>
  </si>
  <si>
    <t>გარე განათების ქსელის განვითარება და მოვლა-პატრონობა</t>
  </si>
  <si>
    <t>პარკების, სკვერებისა და მოედნების ინფრასტრუქტურის რეაბილიტაცია და მშენებლობა</t>
  </si>
  <si>
    <t>ქალაქის გაფორმების ღონისძიებები</t>
  </si>
  <si>
    <t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t>
  </si>
  <si>
    <t>საცხოვრებელი სახლების მშენებლობა</t>
  </si>
  <si>
    <t>საპროექტო-სახარჯთაღრიცხვო დოკუმენტაციის შედგენა</t>
  </si>
  <si>
    <t>ქალაქის განვითარების გეგმის შედგენა</t>
  </si>
  <si>
    <t>04 01</t>
  </si>
  <si>
    <t>04 01 02</t>
  </si>
  <si>
    <t>პროფესიული განვითარებისა და უმაღლესი განათლების ხელშეწყობა</t>
  </si>
  <si>
    <t>პროფესიული განვითარების  ხელშეწყობა</t>
  </si>
  <si>
    <t>04 02 02</t>
  </si>
  <si>
    <t>ლუკა ასათიანის სახელობის სტიპენდია წარმატებული სტუდენტებისათვის</t>
  </si>
  <si>
    <t>საერთაშორისო სპორტული ღონისძიებების მხარდაჭერა</t>
  </si>
  <si>
    <t>05 01 03</t>
  </si>
  <si>
    <t>სასპორტო ინფრასტრუქტურის მშენებლობა და რეაბილიტაცია</t>
  </si>
  <si>
    <t>კულტურის სფეროში თავისუფალი ინიციატივების მხარდაჭერა</t>
  </si>
  <si>
    <t>ხელოვანთა ხელშეწყობა</t>
  </si>
  <si>
    <t>ახალგაზრდობის განვითარების ხელშეწყობა</t>
  </si>
  <si>
    <t>ახალგაზრდული ცენტრი</t>
  </si>
  <si>
    <t>სტუდენტური საზაფხულო დასაქმება</t>
  </si>
  <si>
    <t>მოწყვლადი ჯგუფების სტომატოლოგიური და  ორთოპედიული  მომსახურეობა</t>
  </si>
  <si>
    <t>ქრონიკული დაავადებების მქონე პაციენტთა მონიტორინგი და დიაგნოსტიკა</t>
  </si>
  <si>
    <t>ახალშობილთა და ბავშვთა განვითარების შეფერხების პრევენცია და რეაბილიტაცია</t>
  </si>
  <si>
    <t>ბათუმის ტერიტორიაზე არსებული დაწესებულებების სანიტარული მონიტორინგი</t>
  </si>
  <si>
    <t xml:space="preserve">კომუნალური მომსახურების საფასურის სუბსიდირება </t>
  </si>
  <si>
    <t>მზრუნველობას მოკლებულ ბენეფიციართა მოვლა-პატრონობა და  მოვლის საჭიროების მქონე პირთა დახმარება</t>
  </si>
  <si>
    <t>არქიტექტურა</t>
  </si>
  <si>
    <t>სახმელეთო, წყლისა და საჰაერო ტრანსპორტის დამხმარე მომსახურებები</t>
  </si>
  <si>
    <t>06 03</t>
  </si>
  <si>
    <t>06 03 01</t>
  </si>
  <si>
    <t>06 03 02</t>
  </si>
  <si>
    <t>06 03 03</t>
  </si>
  <si>
    <t>სანიტარიული ზედამხედველობა და ეპიდსიტუაციის მართვა</t>
  </si>
  <si>
    <t>დეზინსექცია დერატიზაციის ღონისძიებები</t>
  </si>
  <si>
    <t>მაწანწალა ცხოველების  მოვლა-პატრონობისა და პოპულაციის რეგულირების  ღონისძიებები</t>
  </si>
  <si>
    <t>ონკოლოგიურ დაავადებათა ადრეული ფორმების დიაგნოსტიკა და პრევენცია</t>
  </si>
  <si>
    <t xml:space="preserve"> სკოლამდელი აღზრდა და განათლება       </t>
  </si>
  <si>
    <t>ინფრასტრუქტურისა და მუნიციპალური კომუნალური სერვისების განვითარება</t>
  </si>
  <si>
    <t>01 06</t>
  </si>
  <si>
    <t>წვევამდელთა ტრანსპორტირება</t>
  </si>
  <si>
    <t>საბაზისო კომუნალური ინფრასტრუქტურის განვითარება</t>
  </si>
  <si>
    <t>ეკოლოგიური მდგომარეობის გაუმჯობესება და სარეკრეაციო ინფრასტრუქტურის განვითარება</t>
  </si>
  <si>
    <t>ქ. ბათუმში დაბადებულ ახალშობილთა სქრინინგი მუკოვისციდოზზე</t>
  </si>
  <si>
    <r>
      <t xml:space="preserve">2. შემსყიდველი ორგანიზაციის საიდენტიფიკაციო კოდი:
</t>
    </r>
    <r>
      <rPr>
        <b/>
        <sz val="11"/>
        <rFont val="Sylfaen"/>
        <family val="1"/>
        <charset val="204"/>
      </rPr>
      <t>245 576 826</t>
    </r>
  </si>
  <si>
    <r>
      <rPr>
        <sz val="11"/>
        <rFont val="Sylfaen"/>
        <family val="1"/>
        <charset val="204"/>
      </rPr>
      <t>3. შემსყიდველი ორგანიზაციის დასახელება:</t>
    </r>
    <r>
      <rPr>
        <b/>
        <sz val="11"/>
        <rFont val="Sylfaen"/>
        <family val="1"/>
        <charset val="204"/>
      </rPr>
      <t xml:space="preserve">
ადგილობრივი თვითმმართველობის ორგანო
ქალაქ ბათუმის მუნიციპალიტეტის მერია</t>
    </r>
  </si>
  <si>
    <r>
      <t xml:space="preserve">4. დაფინანსების წყარო :
</t>
    </r>
    <r>
      <rPr>
        <b/>
        <sz val="11"/>
        <rFont val="Sylfaen"/>
        <family val="1"/>
        <charset val="204"/>
      </rPr>
      <t>ქალაქ ბათუმის მუნიციპალიტეტის ბიუჯეტი</t>
    </r>
  </si>
  <si>
    <t>01 02 01</t>
  </si>
  <si>
    <t>01 02 02</t>
  </si>
  <si>
    <t>01 02 03</t>
  </si>
  <si>
    <t>01 02 04</t>
  </si>
  <si>
    <t>01 02 05</t>
  </si>
  <si>
    <t>01 02 06</t>
  </si>
  <si>
    <t>აპარატი - IT</t>
  </si>
  <si>
    <t>სოციალური</t>
  </si>
  <si>
    <t>აპარატი - მატერ-ტექნიკ.</t>
  </si>
  <si>
    <t>აპარატი - საქმისწარმოება</t>
  </si>
  <si>
    <t>01 02 07</t>
  </si>
  <si>
    <t>ზედამხედველობა</t>
  </si>
  <si>
    <t>01 02 08</t>
  </si>
  <si>
    <t>აპარატი - იურიდიული</t>
  </si>
  <si>
    <t>საფინანსო</t>
  </si>
  <si>
    <t>აპარატი - შესყიდვები</t>
  </si>
  <si>
    <t>01 02 11</t>
  </si>
  <si>
    <t>01 02 12</t>
  </si>
  <si>
    <t>აპარატი - HR</t>
  </si>
  <si>
    <t>09100000</t>
  </si>
  <si>
    <t>04 02 03</t>
  </si>
  <si>
    <t>პროფესიული საგანმანათლებლო დაწესებულების განვითარების ხელშეწყობა</t>
  </si>
  <si>
    <t>კულტურული მემკვიდრეობის დაცვა</t>
  </si>
  <si>
    <t>"ახალგაზრდულიო ცენტრის" ინტერნეტ მომსახურება</t>
  </si>
  <si>
    <t>IV კვარტალი 2018 წ.</t>
  </si>
  <si>
    <t>ვეტერანების, მათთან გათანაბრებული პირების, ომში დაღუპულთა ოჯახის წევრების და მარჩენალდაკარგულებისათვის თხევადი აირის მიწოდება</t>
  </si>
  <si>
    <t>ქალაქის ტერიტორიის დეზინსექცია-დერატიზაციის ღონისძიებები</t>
  </si>
  <si>
    <t>ეპილეფსიით დაავადებულ პაციენტთა მედიკამენტებით უზრუნველყოფა</t>
  </si>
  <si>
    <t>მოწყვლადი ჯგუფების სტომატოლოგიური, ორთოდონტიული და ორთოპედიული მომსახურეობა</t>
  </si>
  <si>
    <t>ქ. ბათუმში დაბადებულ ახალშობილთა სმენის სკრინინგული გამოკვლევა</t>
  </si>
  <si>
    <t>ქ. ბათუმში რეგისტრირებული 2-დან 10 წლამდე ასაკის სმენის დარღვევის მქონე ბავშვთა რეაბილიტაცია</t>
  </si>
  <si>
    <t>აპარატი - PR</t>
  </si>
  <si>
    <t>აპარატი - პროტოკოლი</t>
  </si>
  <si>
    <t>განათ. და კულტურა</t>
  </si>
  <si>
    <t>ახალგაზ. და სპორტი</t>
  </si>
  <si>
    <t>სანიტარული</t>
  </si>
  <si>
    <t>ქაღალდის ხელსახოცები</t>
  </si>
  <si>
    <t>07 00</t>
  </si>
  <si>
    <t>07 01</t>
  </si>
  <si>
    <t>07 01 01</t>
  </si>
  <si>
    <t>07 01 02</t>
  </si>
  <si>
    <t>07 02 01</t>
  </si>
  <si>
    <t>ინდუსტრიული/საწარმოო ბიზნეს ცენტრის შექმნა</t>
  </si>
  <si>
    <t>ეკონომიკური ფორუმების ორგანიზება</t>
  </si>
  <si>
    <t>თვითმმართველობის საკუთრებაში არსებული ქონების მართვა</t>
  </si>
  <si>
    <t>სპეციალური საგანმანათლებლო საჭიროების მქონე მოსწავლეთა ტრანსპორტირება</t>
  </si>
  <si>
    <t>ინკლუზიური განათლების ხელშეწყობა</t>
  </si>
  <si>
    <t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t>
  </si>
  <si>
    <t>01 07</t>
  </si>
  <si>
    <t>01 08</t>
  </si>
  <si>
    <t>მუნიციპალიტეტის საჯარო მოსამსახურეთა პროფესიული განვითარება</t>
  </si>
  <si>
    <t>06 02 10</t>
  </si>
  <si>
    <t>მოწყვლადი სოციალური კატეგორიებისათვის მინიმალური სოციალური პირობების შექმნა</t>
  </si>
  <si>
    <t>03 02</t>
  </si>
  <si>
    <t>03 02 01</t>
  </si>
  <si>
    <t>03 02 02</t>
  </si>
  <si>
    <t>03 02 03</t>
  </si>
  <si>
    <t>03 02 04</t>
  </si>
  <si>
    <t>03 03 06</t>
  </si>
  <si>
    <t>03 03 07</t>
  </si>
  <si>
    <t>მუნიციპალური სპორტული ინფრასტრუქტურის განვითარება და მოვლა-პატრონობა</t>
  </si>
  <si>
    <t>05 01 02</t>
  </si>
  <si>
    <t>კულტურული ღონისძიებები და ფესტივალები</t>
  </si>
  <si>
    <t>05 04</t>
  </si>
  <si>
    <t>კულტურულ-საგანმანათლებლო საქმიანობის ხელშეწყობა</t>
  </si>
  <si>
    <t>05 05</t>
  </si>
  <si>
    <t>კულტურული მემკვიდრეობის დაცვა და განვითარება</t>
  </si>
  <si>
    <t>05 03 04</t>
  </si>
  <si>
    <t>05 03 05</t>
  </si>
  <si>
    <t>05 04 04</t>
  </si>
  <si>
    <t>05 05 02</t>
  </si>
  <si>
    <t>05 05 03</t>
  </si>
  <si>
    <t>საერთაშორისო ფესტივალების მხარდაჭერა</t>
  </si>
  <si>
    <t>05 05 01</t>
  </si>
  <si>
    <t>კულტურული მემკვიდრეობის ძეგლების რეაბილიტაცია</t>
  </si>
  <si>
    <t>განმკარგავი</t>
  </si>
  <si>
    <t>არ შედგა, შეწყდა</t>
  </si>
  <si>
    <t>არ ჭირდება ხელშეკრ.</t>
  </si>
  <si>
    <t>მერიის ბალანსზე რიცხული ავტომანქანების გადაადგილების GPS ტექნოლოგიით მონიტორინგი</t>
  </si>
  <si>
    <t>ხილი, ბოსტნეული და მონათესავე პროდუქტები</t>
  </si>
  <si>
    <t> 15300000</t>
  </si>
  <si>
    <t>ხილის წვენები</t>
  </si>
  <si>
    <t>ქ. ბათუმის მერიის ადმინისტრაციული შენობების დაცვის მომსახურება</t>
  </si>
  <si>
    <t>თემზე დაფუძნებული მობილური გუნდის მომსახურება</t>
  </si>
  <si>
    <t>06 01 14</t>
  </si>
  <si>
    <t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t>
  </si>
  <si>
    <t>სატელეკომუნიკაციო მოწყობილობები და აქსესუარები</t>
  </si>
  <si>
    <t>თანხა 2019</t>
  </si>
  <si>
    <t>ვიდეო-სამეთვალყურეო კამერების (სისტემების) მოვლა-პატრონობა</t>
  </si>
  <si>
    <t>06 01 10</t>
  </si>
  <si>
    <t>05 06 02</t>
  </si>
  <si>
    <t>05 06</t>
  </si>
  <si>
    <t>05 06 01</t>
  </si>
  <si>
    <t>05 06 03</t>
  </si>
  <si>
    <t>06 02 11</t>
  </si>
  <si>
    <t>შეზღუდული შესაძლებლობების მქონე პირების ასისტენტით მომსახურება</t>
  </si>
  <si>
    <t>მერიის ოფიციალური ვებ­გვერდის დომენური სახელის batumi.ge რეგისტრაცია და მომსახურება</t>
  </si>
  <si>
    <t>ტექნიკური შემოწმება, ანალიზი და საკონსულტაციო მომსახურებები</t>
  </si>
  <si>
    <t>სატრანსპორტო საშუალებების ტექნიკური ინსპექტირება</t>
  </si>
  <si>
    <t>მე-9 მუხლ. მე-3(1) პუნქტი ”ა” ქვეპ..</t>
  </si>
  <si>
    <t>ავეჯის აქსესუარები</t>
  </si>
  <si>
    <t>კონსოლიდირებული ტენდერი</t>
  </si>
  <si>
    <t>ფილტვის კიბოს სქრინინგული გამოკვლევა</t>
  </si>
  <si>
    <t>I კვარტალი 2019 წ.</t>
  </si>
  <si>
    <t>01 01</t>
  </si>
  <si>
    <t>ქალაქ ბათუმის მუნიციპალიტეტის საკრებულო</t>
  </si>
  <si>
    <t>საკრებულო</t>
  </si>
  <si>
    <t>ღია ბარათები, მისალოცი ბარათები და სხვა ნაბეჭდი მასალა</t>
  </si>
  <si>
    <t xml:space="preserve"> ტელეფონის აპარატი</t>
  </si>
  <si>
    <t xml:space="preserve">01 01 </t>
  </si>
  <si>
    <t>ქსოვილის ნივთები</t>
  </si>
  <si>
    <t>საოჯახო ტექნიკა</t>
  </si>
  <si>
    <t>გამაგრილებელი და სავენტილაციო მოწყობილობები</t>
  </si>
  <si>
    <t>კონდიციონერები</t>
  </si>
  <si>
    <t>ანტივირუსული პროგრამული პაკეტები</t>
  </si>
  <si>
    <t>სხვადასხვა სახის სარემონტო (შესაკეთებელი) სამუშაოები და ტექნიკური მომსახურება</t>
  </si>
  <si>
    <t>ავეჯის შეკეთება და ტექნიკური მომსახურება</t>
  </si>
  <si>
    <t>ქ. ბათუმის მუნიციპალიტეტის საკრებულოს ბალანსზე რიცხული ავტომანქანების პარკირების საფასური</t>
  </si>
  <si>
    <t>ქ. ბათუმის მუნიციპალიტეტის საკრებულოს ბალანსზე რიცხული ავტომობილების დაზღვევა</t>
  </si>
  <si>
    <t>სამართლებრივი აქტების გამოქვეყნების მომსახურება</t>
  </si>
  <si>
    <t>ხილი და თხილეული</t>
  </si>
  <si>
    <t>ბურღულეული, კართოფილი, ბოსტნეული, ხილი და თხილეული</t>
  </si>
  <si>
    <t>კომპიუტერული მოწყობილობები და აქსესუარები</t>
  </si>
  <si>
    <t>შოკოლადი და ტკბილეული</t>
  </si>
  <si>
    <t>ქ. ბათუმის მუნიციპალიტეტის საკრებულოს ოფიციალური ვებ­გვერდის დომენური სახელის ge რეგისტრაცია და მომსახურება</t>
  </si>
  <si>
    <t>08 01 04</t>
  </si>
  <si>
    <t>აკუმულატორი</t>
  </si>
  <si>
    <t>საზოგადოების ინფორმირებულობის ამაღლება</t>
  </si>
  <si>
    <t>სპეციალური კავშირგაბმულობის სისტემის მომსახურება (საკრებულო)</t>
  </si>
  <si>
    <t>09200000</t>
  </si>
  <si>
    <t>ნავთობი, ქვანახშირი და ნავთობპროდუქტები</t>
  </si>
  <si>
    <t>სატრანსპორტო საშუალებების ძრავის ზეთები და ზეთის ფილტრები</t>
  </si>
  <si>
    <t>პორტატული კომპიუტერი</t>
  </si>
  <si>
    <t>ინტელექტუალური თამაშების "რა? სად? როდის?" ორგანიზება</t>
  </si>
  <si>
    <t>ინტელექტუალური თამაშების "რა? სად? როდის?" ფარგლებში მონაწილეებისათვის სასაჩუქრე თასების შეძენა</t>
  </si>
  <si>
    <t>ნაბეჭდი წიგნები, ბროშურები და საინფორმაციო ფურცლები</t>
  </si>
  <si>
    <t>ინტელექტუალური თამაშების "რა? სად? როდის?" ფარგლებში მონაწილეებისათვის სასაჩუქრე წიგნების შეძენა</t>
  </si>
  <si>
    <t>ინტელექტუალური მედიაპროექტი ,,ეტალონი"-ს 1-ლი ეტაპის ორგანიზება</t>
  </si>
  <si>
    <t>ღონისძიების "აჭარის საერთაშორისო ჯემბორი - სკაუტური სამყარო“-ს ორგანიზება</t>
  </si>
  <si>
    <t>ღონისძიების "წლის სპორტსმენი"-ს ორგანიზება</t>
  </si>
  <si>
    <t>ღონისძიების "წლის ხელოვანი"-ს ორგანიზება</t>
  </si>
  <si>
    <t xml:space="preserve"> საქმისწარმოების ავტომატიზებული სისტემის (eDocument) მომსახურების საფასური ქ. ბათუმის მუნიციპალიტეტის საკრებულოში</t>
  </si>
  <si>
    <t>კონკურსის "სიტყვის კონა"-ს ორგანიზება</t>
  </si>
  <si>
    <t>ავტომანქანების საბურავები (საკრებულოს)</t>
  </si>
  <si>
    <t>სხვადასხვა ზოგადი და სპეციალური დანიშნულების მანქანა-დანადგარები</t>
  </si>
  <si>
    <t>დისკის წამკითხველი</t>
  </si>
  <si>
    <t>მულტიფუნქციური (კომბინირებული) პრინტერი (კარტრიჯებით)</t>
  </si>
  <si>
    <t>მოქალაქეთა მომსახურების ცენტრში რიგის მარეგულირებელი სისტემის მოწყობა</t>
  </si>
  <si>
    <t>ოპტიკური ხელსაწყოები</t>
  </si>
  <si>
    <t>ციფრული ფოტოაპარატები</t>
  </si>
  <si>
    <t>ვებ ფილტრის (Barracuda Web Filter 410)
ერთ წლიანი ლიცენზია</t>
  </si>
  <si>
    <t>”საკანონმდებლო მაცნეს” ვებგვერდზე განთავსებული ნორმატიული აქტებით სარგებლობისათვის საფასური (საკრებულოს)</t>
  </si>
  <si>
    <t>გასართობი მომსახურებები</t>
  </si>
  <si>
    <t>თეატრალური ხელოვნებითა და მსახიობობით დაინტერესებული მოზარდების მონაწილეობით სპექტაკლის დადგმა</t>
  </si>
  <si>
    <t>სატრანსპორტო საშუალებების ტექნიკური ინსპექტირება (საკრებულო)</t>
  </si>
  <si>
    <t>IV კვარტალი 2019 წ.</t>
  </si>
  <si>
    <r>
      <t xml:space="preserve">5. </t>
    </r>
    <r>
      <rPr>
        <sz val="11"/>
        <rFont val="Sylfaen"/>
        <family val="1"/>
      </rPr>
      <t>2020 წელს</t>
    </r>
    <r>
      <rPr>
        <sz val="11"/>
        <rFont val="Sylfaen"/>
        <family val="1"/>
        <charset val="204"/>
      </rPr>
      <t xml:space="preserve"> სახელმწიფო შესყიდვების გეგმით გათვალისწინებული
ჯამური თანხა დაფინანსების წყაროს შესაბამისად:</t>
    </r>
  </si>
  <si>
    <t>ბავშვთა მენჯ-ბარძაყის დისპლაზიისა და თანდაყოლილი ამოვარდნილობის მკურნალობა</t>
  </si>
  <si>
    <t>I კვარტალი 2020 წ.</t>
  </si>
  <si>
    <t>II კვარტალი 2020 წ.</t>
  </si>
  <si>
    <t>სპეციალური დანიშნულების პერსონალური კომპიუტერების შეძენა</t>
  </si>
  <si>
    <t>III კვარტალი 2020წ.</t>
  </si>
  <si>
    <t>არაფორმალური განათლების ხელშეწყობა</t>
  </si>
  <si>
    <t>სხვადასხვა მომსახურება</t>
  </si>
  <si>
    <t>"ახალგაზრდული ცენტრის" მოვლა-პატრონობის, დალაგება-დასუფთავების, ლიფტის მოვლა-პატრონობის მომსახურება</t>
  </si>
  <si>
    <t xml:space="preserve"> </t>
  </si>
  <si>
    <t>ხილი და თხილეული (საკრებულო)</t>
  </si>
  <si>
    <t>არაეთილირებული ბენზინი (საკრებულო)</t>
  </si>
  <si>
    <t>ყვავილის თაიგულები (საკრებულო)</t>
  </si>
  <si>
    <t>ხილის წვენები (საკრებულო)</t>
  </si>
  <si>
    <t>ყავა, ჩაი, შაქარი, საკონდიტრო ნაწარმი (საკრებულო)</t>
  </si>
  <si>
    <t xml:space="preserve">ფერადი ტელევიზორების შეძენა </t>
  </si>
  <si>
    <t>ქ. ბათუმის მერიის საკუთრებაში არსებული შენობებისა და ობიექტების დაცვის მომსახურება</t>
  </si>
  <si>
    <t>სამკაულები, საათები და მონათესავე ნივთები</t>
  </si>
  <si>
    <t>გაზეთები, სამეცნიერო ჟურნალები, პერიოდიკა და ჟურნალები</t>
  </si>
  <si>
    <t>ტელე- და რადიოსიგნალის მიმღებები და აუდიო- ან ვიდეოგამოსახულების ჩამწერი ან აღწარმოების აპარატურა</t>
  </si>
  <si>
    <t>დოკუმენტების, გრაფიკული გამოსახულებების შექმნის, გამოსახულების დამუშავების, დაგეგმვისა და წარმადობის გაზრდის პროგრამული პაკეტები</t>
  </si>
  <si>
    <t>საკომუნიკაციო და მულტიმედიის პროგრამული პაკეტები</t>
  </si>
  <si>
    <t>მონაცემთა ბაზისა და ოპერაციული პროგრამული პაკეტები</t>
  </si>
  <si>
    <t>სასტუმროს მომსახურება</t>
  </si>
  <si>
    <t xml:space="preserve">რესტორნებისა და საზოგადოებრივი კვების საწარმოების მომსახურებები   </t>
  </si>
  <si>
    <t>საავტომობილო ტრანსპორტის მომსახურებები</t>
  </si>
  <si>
    <t>ადმინისტრაციული მომსახურება</t>
  </si>
  <si>
    <t>ქალაქის ან სოფლის ზონების დასუფთავება და სანიტალური მომსახურება, ასევე მათთან დაკავშირებული მომსახურებები</t>
  </si>
  <si>
    <t>ქალაქის ქუჩების, პარკების, მოედნების დასუფთავება, მორწყვა-მორეცხვა, ქუჩების თოვლის საფარისაგან გაწმენდა, მოყინვის საწინააღმდეგო სამუშოები, მსხვილფეხა რქოსანი პირუტყვის ქალაქში მოძრაობის აღკვეთა</t>
  </si>
  <si>
    <t>ნარჩენებთან და ნაგავთან დაკავშირებული მომსახურებები</t>
  </si>
  <si>
    <t>საყოფაცხოვრებო ნარჩენების და ანახვეტის გატანა, თოვლის გატანა</t>
  </si>
  <si>
    <t>03100000</t>
  </si>
  <si>
    <t>სოფლის მეურნეობისა და ბაღჩეული პროდუქტები</t>
  </si>
  <si>
    <t>ნაგავსაყრელის ექსპლუატაცია და სანიტარული მომსახურება</t>
  </si>
  <si>
    <t>კომპიუტერებისთვის სათადარიგო კლავიატურებისა და მაუსების შეძენა</t>
  </si>
  <si>
    <t>სხვადასხვა კომერციული მომსახურება და მასთან დაკავშირებული მომსახურებები</t>
  </si>
  <si>
    <t>სახელმწიფო შესყიდვების  ერთიან ელექტრონულ სისტემაში სატენდერო და საკონკურსო განცხადებების გამოქვეყნება</t>
  </si>
  <si>
    <t>ქ. ბათუმის მუნიციპალიტეტის საკრებულოს ვებ გვერდის ჰოსტინგი და ინტერნეტდომენური სახელი</t>
  </si>
  <si>
    <t>განცხადებებისა და სამართლებრივი აქტების ბეჭდვით მედიაში გამოქვეყნების მომსახურება</t>
  </si>
  <si>
    <t>ბეჭდვა და მასთან დაკავშირებული მომსახურებები</t>
  </si>
  <si>
    <t>დაემატა ახალი შესყიდვა</t>
  </si>
  <si>
    <t xml:space="preserve"> საქმისწარმოების ავტომატიზებული სისტემის (eDocument) მომსახურების საფასური ქ. ბათუმის მუნიციპალიტეტის მერიაში</t>
  </si>
  <si>
    <t>შემცირდა 178100 ლარით</t>
  </si>
  <si>
    <t>პასპორტიზაცია (საკადასტრო კვლევა, ტოპოგრაფიული მომსახურებები)</t>
  </si>
  <si>
    <t>საინჟინრო მომსახურებები</t>
  </si>
  <si>
    <t>გაიზარდა 900 ლარით</t>
  </si>
  <si>
    <t xml:space="preserve">”საკანონმდებლო მაცნეს” ვებგვერდზე განთავსებული ნორმატიული აქტებით სარგებლობისათვის საფასური </t>
  </si>
  <si>
    <t>ქონების აუდიტორული შეფასება</t>
  </si>
  <si>
    <t>ბიზნესთან და მენეჯმენტთან დაკავშირებული კონსულტაციები და მომსახურებები</t>
  </si>
  <si>
    <t>წვევამდელების ტრანსპორტირება</t>
  </si>
  <si>
    <t>კონდიციონერების მიმდინარე რემონტი</t>
  </si>
  <si>
    <t>მძიმე ფსიქიკური აშლილობის მქონე პირთათვის თემზე დაფუძნებული მობილური გუნდის მომსახურება</t>
  </si>
  <si>
    <t>თანხა 2020</t>
  </si>
  <si>
    <t>დასაზუსტებელია</t>
  </si>
  <si>
    <t>შპს ,, გრინტვ’’</t>
  </si>
  <si>
    <t>შპს ,,ექსპრესი ბათუმი“</t>
  </si>
  <si>
    <t>შ.პ.ს პროსერვისი</t>
  </si>
  <si>
    <t>სსიპ ,,ლაბორატორიული კვლევითი ცენტრი’’</t>
  </si>
  <si>
    <t>შპს ,,თეგეტა მოტორსი"</t>
  </si>
  <si>
    <t>შპს „დავით 2014“</t>
  </si>
  <si>
    <t>შ.პ.ს. ,,საოჯახო მედიცინის რეგიონული ცენტრი"</t>
  </si>
  <si>
    <t>აიპ „სთეფ ფორვარდი“</t>
  </si>
  <si>
    <t>შპს ,,სტომა დენტი"</t>
  </si>
  <si>
    <t>შპს "სანდასუფთავება"</t>
  </si>
  <si>
    <t>შპს ,,მაღალტექნოლოგიური ჰოსპიტალი მედცენტრი“</t>
  </si>
  <si>
    <t>შპს „აბსოლუტი 2010“</t>
  </si>
  <si>
    <t>შპს "აუდიტ-ეკონომიქსი"</t>
  </si>
  <si>
    <t>შპს ,,პოლიგრაფ-სერვისი“</t>
  </si>
  <si>
    <t>შპს ,,აბსოლუტი 2010"</t>
  </si>
  <si>
    <t>შპს ,,აბსოლუტი 2010“</t>
  </si>
  <si>
    <t>შპს „ბათუმის სამედიცინო ცენტრი“</t>
  </si>
  <si>
    <t>შპს „ეკონათება“</t>
  </si>
  <si>
    <t>ი.მ. შალვა თავდგირიძე</t>
  </si>
  <si>
    <t>სსიპ ,,ტექნიკური და სამშენებლო ლაბორატორია“</t>
  </si>
  <si>
    <t>სს „სილქნეტი“</t>
  </si>
  <si>
    <t>შინაგან საქმეთა სამინისტროს საჯარო სამართლის იურიდიული პირი - დაცვის პოლიციის დეპარტამენტის აჭარის დაცვის პო¬ლიციის სამმართველო</t>
  </si>
  <si>
    <t>შპს ,,პროგრეს სერვისი"</t>
  </si>
  <si>
    <t>სს ,,სილქნეტი’’</t>
  </si>
  <si>
    <t>158, 162</t>
  </si>
  <si>
    <t>სს „სილქნეტი“  შპს „TV_ERA“</t>
  </si>
  <si>
    <t>საჯარო სამართლის იურიდიული პირი - “სახელისუფლებო სპეციალური კავშირგაბმულობის სააგენტო“</t>
  </si>
  <si>
    <t>შპს „TV_ERA“</t>
  </si>
  <si>
    <t>ინდ. მეწარმე „ბადრი გორაძე“</t>
  </si>
  <si>
    <t>შპს ,,CEBEP’’</t>
  </si>
  <si>
    <t>შპს. `I GPS ოპრატორი</t>
  </si>
  <si>
    <t>სს რისკების მართვისა და სადაზღვევო კომპანია გლობალ ბენეფიტს ჯორჯია</t>
  </si>
  <si>
    <t>შპს „გაზეთი აჭარა და ადჟარია“</t>
  </si>
  <si>
    <t>შპს რომპეტროლ საქართველო</t>
  </si>
  <si>
    <t>176, 178</t>
  </si>
  <si>
    <t>შემცირდა 150 ლარით</t>
  </si>
  <si>
    <t>მე-3 მუხ. 1-ლი პუნქ. "ვ" ქვეპუნ.</t>
  </si>
  <si>
    <t>შემცირდა 200 ლარით</t>
  </si>
  <si>
    <t>შოკოლადი და ტკბილეული (საკრებულო)</t>
  </si>
  <si>
    <t>მინერალური წყლები (საკრებულო)</t>
  </si>
  <si>
    <t>შეიცვალა შესყიდვის საშუალება</t>
  </si>
  <si>
    <t>სატრანსპორტო მომსახურება</t>
  </si>
  <si>
    <t>მობილური ტელეფონების მომსახურება</t>
  </si>
  <si>
    <t>I კვარტალი 2018 წ.</t>
  </si>
  <si>
    <t>2018-2020</t>
  </si>
  <si>
    <t>2019-2020</t>
  </si>
  <si>
    <t>გაიზარდა 282 ლარით</t>
  </si>
  <si>
    <t>მზრუნველობას მოკლებულ ბენეფიციართა მოვლა-პატრონობა და  მოვლის საჭიროების მქონე პირთა დახმარება, ჰოსპისი ბინაზე</t>
  </si>
  <si>
    <t>შპს ,,მაჭუ“</t>
  </si>
  <si>
    <t>შპს ,,აიდიეს ბორჯომი თბილისი“</t>
  </si>
  <si>
    <t>ინდივიდუალური მეწარმე ,,ზაალ კოსტავა”</t>
  </si>
  <si>
    <t>შპს ,,აიდიეს ბორჯომი თბილისი</t>
  </si>
  <si>
    <t>ინდივიდუალირ მეწარმე ,,ფრიდონ შონია“</t>
  </si>
  <si>
    <t>შპს ,,დელტა კონსალტინგი’’</t>
  </si>
  <si>
    <t>შპს ,,ეკონათება’’</t>
  </si>
  <si>
    <t>შპს „,მედიკალ სოფტი“</t>
  </si>
  <si>
    <t>შპს „თეგეტა მოტორსი“</t>
  </si>
  <si>
    <t>შპს ,,csc batumi’’</t>
  </si>
  <si>
    <t>შპს ,,კომპანია GEOSM’’</t>
  </si>
  <si>
    <t>შპს ,,E-2010’’</t>
  </si>
  <si>
    <t>შპს ,,კორვეტი’’</t>
  </si>
  <si>
    <t>ა(ა)იპ „აჭარის ინტელექტ კლუბი“</t>
  </si>
  <si>
    <t>ტელევიზორების შეძენა (სოციალური უზრუნველყოფის პროგრამის ფარგლებში)</t>
  </si>
  <si>
    <t>სადეზინფექციო საშუალებების შესყიდვა</t>
  </si>
  <si>
    <t>ხელნაკეთობები და ხელოვნების ნივთების შესაქმნელად საჭირო მასალები</t>
  </si>
  <si>
    <t>ხელოვნების ნივთების შესაქმნელად საჭირო მასალები</t>
  </si>
  <si>
    <t>საღებავები, ლაქები და მასტიკები</t>
  </si>
  <si>
    <t>სამხატვრო საღებავების შეძენა</t>
  </si>
  <si>
    <t>სამუშაოები მთლიანი ან ნაწილობრივი მშენებლობისათვის და სამოქალაქო მშენებლობის სამუშაოები</t>
  </si>
  <si>
    <t>ე.წ. „ჭაობის დასახლებაში“ ქუჩების კეთილმოწყობის  პირველი ეტაპის სამუშოები</t>
  </si>
  <si>
    <t>IV კვარტალი 2015 წ.</t>
  </si>
  <si>
    <t>2015-2020</t>
  </si>
  <si>
    <t>მერიის ადმინისტრაციული შენობის შესასვლელი მინის კარებისა (მ. ლერმონტოვის ქ. 90ა) და ვიტრაჟის მინის (ლ. ასათიანის ქ. N25) აღდგენა-შეკეთების სამუშაოები</t>
  </si>
  <si>
    <t>მშენებლობასთან დაკავშირებული მომსახურებები</t>
  </si>
  <si>
    <t>ქ. ბათუმში, ე.წ. „ჭაობის“ დასახლებაში ქუჩების კეთილმოწყობის სამუშაოების ტექნიკური ზედამხედველობის მომსახურება</t>
  </si>
  <si>
    <t>შემცირდა 4950 ლარით</t>
  </si>
  <si>
    <t>წამახალისებელი ღონისძიებების ორგანიზება აქტიური ახალგაზრდებისათვის</t>
  </si>
  <si>
    <t>სმენადაქვეითებულ ბავშვთა (18 წლამდე) ოჯახის წევრებისათვის ქართული ჟესტური ენის სწავლება</t>
  </si>
  <si>
    <t>გაიზარდა 62000 ლარით</t>
  </si>
  <si>
    <t>გაიზარდა 400 ლარით</t>
  </si>
  <si>
    <t>მინის საიზოლაციო ტიხრების შეძენა-მონტაჟი</t>
  </si>
  <si>
    <t>სამშენებლო მასალები და დამხმარე სამშენებლო მასალები</t>
  </si>
  <si>
    <t>სპეციალური ტანსაცმელი და აქსესუარები</t>
  </si>
  <si>
    <t>ერთჯერადი ხელთათმანები</t>
  </si>
  <si>
    <t>გაიზარდა 1840 ლარით</t>
  </si>
  <si>
    <t xml:space="preserve">შპს „ულტრა“ </t>
  </si>
  <si>
    <t>17, 46</t>
  </si>
  <si>
    <t>ფ/პ ნატალია გალოგრე</t>
  </si>
  <si>
    <t>შპს ,,აჭარინვესტი’’</t>
  </si>
  <si>
    <t>შპს ,,მათემოტორსი’’</t>
  </si>
  <si>
    <t>ინდივიდუალური მეწარმე ,,რევაზ ბოლქვაძე“</t>
  </si>
  <si>
    <t>შპს „დენტა-მედ+“</t>
  </si>
  <si>
    <t>სს „გეფა“</t>
  </si>
  <si>
    <t>პსპ ფარმა</t>
  </si>
  <si>
    <t>შპს „თეგეტა მოტორსი"</t>
  </si>
  <si>
    <t>შპს ,,ალბატროსი-68’’</t>
  </si>
  <si>
    <t>შპს ,,აქვაგეო’’</t>
  </si>
  <si>
    <t>21, 53, 61</t>
  </si>
  <si>
    <t>შპს ,,აბსოლუტი 2010“, შპს „დენტა-მედ+“, შპს „ბათუმის სამედიცინო სახლი“</t>
  </si>
  <si>
    <t>შპს ,,წიგნის სამყარო“</t>
  </si>
  <si>
    <t>შპს „ეტალონი-მედია“</t>
  </si>
  <si>
    <t>შპს ,,GS“</t>
  </si>
  <si>
    <t>საკარანტინო ზონებიდან 2000-მდე მოქალაქის ტრანსპორტირება საქართველოს სხვადასხვა მიმართულებით</t>
  </si>
  <si>
    <t>მუნიციპალური. პოლოტიკის. სამსაზ.</t>
  </si>
  <si>
    <t>ხელის სადეზინფექციო ხსნარი</t>
  </si>
  <si>
    <t>მერიის სისტემაში ვირტუალური ქოლ ცენტრის ამოქმედება</t>
  </si>
  <si>
    <t>სამედიცინო მოწყობილობები</t>
  </si>
  <si>
    <t>სამედიცინო სახარჯი მასალები</t>
  </si>
  <si>
    <t>52, 67</t>
  </si>
  <si>
    <t>შპს „პროვაიდერ.ჯი PROVIDER.GE “</t>
  </si>
  <si>
    <t>69,70</t>
  </si>
  <si>
    <t>პსპ ფარმა  სს „გეფა“</t>
  </si>
  <si>
    <t>შპს ,,viva-jaluzi“</t>
  </si>
  <si>
    <t>შპს ,,აჭარტრანსრეგულირება"</t>
  </si>
  <si>
    <t>თანხა 2021</t>
  </si>
  <si>
    <t xml:space="preserve">შპს ,,კომპუს ბათუმი’’ </t>
  </si>
  <si>
    <t>02 01 01</t>
  </si>
  <si>
    <t>02 00</t>
  </si>
  <si>
    <t>02 01</t>
  </si>
  <si>
    <t>01 02 09</t>
  </si>
  <si>
    <t>08 02 01</t>
  </si>
  <si>
    <t>მონაწილეობითი ბიუჯეტით შერჩეული პროექტების დაფინანსება</t>
  </si>
  <si>
    <t>მუნიციპალური ქონების და სერვისების მართვის სამსახური</t>
  </si>
  <si>
    <t>საფინანსო-საბიუჯეტო სამსახური</t>
  </si>
  <si>
    <t>08 00</t>
  </si>
  <si>
    <t>07 02 04</t>
  </si>
  <si>
    <t>07 02 05</t>
  </si>
  <si>
    <t>ქალაქმშენებლობითი დოკუმენტაციის შედგენა</t>
  </si>
  <si>
    <t>მუნიციპალური პოლიტიკის სამსახური</t>
  </si>
  <si>
    <t>მუნიციპალური სერვისების განვითარება</t>
  </si>
  <si>
    <t>ქალაქის ეკონომიკური და ურბანული განვითარება</t>
  </si>
  <si>
    <t>ქალაქგანვითარებისა და ურბანული პოლიტიკის სამსახური</t>
  </si>
  <si>
    <t>02 01 02</t>
  </si>
  <si>
    <t>02 01 03</t>
  </si>
  <si>
    <t>სამუშაო ტანსაცმელი, სპეცტანსაცმელი და აქსესუარები</t>
  </si>
  <si>
    <t>სპეცტანსაცმელი (კომბინიზონი)</t>
  </si>
  <si>
    <t>გაიზარდა 138500</t>
  </si>
  <si>
    <t>შემირდა 1000 ლარით</t>
  </si>
  <si>
    <t>შემირდა 50 ლარით</t>
  </si>
  <si>
    <t>შემირდა 500 ლარით</t>
  </si>
  <si>
    <t>შემირდა 15 ლარით</t>
  </si>
  <si>
    <t>შემირდა 2000 ლარით</t>
  </si>
  <si>
    <t>შემირდა 2002 ლარით (დასაზუტებელია)</t>
  </si>
  <si>
    <t>შემირდა 250 ლარით</t>
  </si>
  <si>
    <t>შემირდა 1379 ლარით</t>
  </si>
  <si>
    <t>შემირდა 200 ლარით</t>
  </si>
  <si>
    <t>შემირდა 2500 ლარით</t>
  </si>
  <si>
    <t>შემირდა 5700 ლარით</t>
  </si>
  <si>
    <t>შემირდა 3500 ლარით</t>
  </si>
  <si>
    <r>
      <rPr>
        <sz val="8"/>
        <color theme="1"/>
        <rFont val="Sylfaen"/>
        <family val="1"/>
      </rPr>
      <t>შემირდა 2000 ლარით (</t>
    </r>
    <r>
      <rPr>
        <sz val="8"/>
        <color rgb="FFFF0000"/>
        <rFont val="Sylfaen"/>
        <family val="1"/>
        <charset val="204"/>
      </rPr>
      <t>დასამატებელია მერის წარმომადგენლობით)</t>
    </r>
  </si>
  <si>
    <t>შემცირდა 1415 ლარით</t>
  </si>
  <si>
    <t>შემცირდა 1000 ლარით</t>
  </si>
  <si>
    <t>შემირდა 300 ლარით (დასაზუსტებელია)</t>
  </si>
  <si>
    <t>დაემატა 1000 ლარი</t>
  </si>
  <si>
    <t>73, 77</t>
  </si>
  <si>
    <t>შპს ჯეონეთი</t>
  </si>
  <si>
    <t>შემცირდა 900 ლარით</t>
  </si>
  <si>
    <t>სამედიცინო პირბადეები (საკრებულო)</t>
  </si>
  <si>
    <t>ერთჯერადი ხელთათმანები (საკრებულო)</t>
  </si>
  <si>
    <t>სხვადასხვა სახის მოწყობილობები</t>
  </si>
  <si>
    <t>დეზობარიერი</t>
  </si>
  <si>
    <t>შემცირდა 1390 ლარით</t>
  </si>
  <si>
    <t>ელემენტები</t>
  </si>
  <si>
    <t>დაემატა ახალი შეყიდვა</t>
  </si>
  <si>
    <t>გაიზარდა 180 ლარით</t>
  </si>
  <si>
    <t>დისპენსერები</t>
  </si>
  <si>
    <t>ქსელების, ინტერნეტისა და ინტრანეტის პროგრამული პაკეტები</t>
  </si>
  <si>
    <t>კრიპტოგრაფიული უსაფრთხოების Wildcard (SSL) სერტიფიკატის შესყიდვა</t>
  </si>
  <si>
    <t>75, 80</t>
  </si>
  <si>
    <t>შპს „ირინა შანიძე დაკომპანია“,  შპს პროვაიდერი შპს „პროვაიდერ.ჯი PROVIDER.GE “</t>
  </si>
  <si>
    <t>შპს ,,თეგეტა მოტორსი”</t>
  </si>
  <si>
    <t xml:space="preserve"> შპს პროვაიდერი</t>
  </si>
  <si>
    <t>შპს ბათუმის ავტოტრანსპორტი</t>
  </si>
  <si>
    <t>შპს „პროსერვისი"</t>
  </si>
  <si>
    <t>76, 87</t>
  </si>
  <si>
    <t>შპს „გეპა“</t>
  </si>
  <si>
    <t xml:space="preserve">შპს „პენსან ჯორჯია“ ი.მ. გიორგი კანდელაკი „ვესტა“, </t>
  </si>
  <si>
    <t>შპს ,,პროსერვისი"</t>
  </si>
  <si>
    <t>შპს ,,რომა-მოტორსი"</t>
  </si>
  <si>
    <t>„</t>
  </si>
  <si>
    <t>შპს ,,ჯეონეტი"</t>
  </si>
  <si>
    <t xml:space="preserve">07 02 05 </t>
  </si>
  <si>
    <t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მხარდაჭერის პროგრამის ფარგლებში ეზოების კეთილმოწყობა</t>
  </si>
  <si>
    <t>შემირდა 1300 ლარით</t>
  </si>
  <si>
    <t>გაიზარდა 1300 ლარით</t>
  </si>
  <si>
    <t>ქ. ბათუმის მუნიციპალიტეტის მერიის ადმინისტრაციული შენობის (ს.ს. ორბელიანის ქ. N10) ფასადზე დასამონტაჟებელი აბრის შეძენა-მონტაჟი</t>
  </si>
  <si>
    <t>გაიზარდა 12000 ლარით</t>
  </si>
  <si>
    <t>მაღალი სიჩქარის მყარი დისკი (SSD)</t>
  </si>
  <si>
    <t>ელექტროძრავები, გენერატორები და ტრანსფორმატორები</t>
  </si>
  <si>
    <t>უწყვეტი კვების ბლოკის (UPS: 3 ფაზა, 10 Kva) შესყიდვა</t>
  </si>
  <si>
    <t>შემცირდა 1196217,38 ლარით</t>
  </si>
  <si>
    <t>პროგრამები პროგრამული უზრუნველყოფისათვის და საკონსულტაციო მომსახურებები</t>
  </si>
  <si>
    <t xml:space="preserve">ბუღალტრული აღრიცხვა-ანგარიშგების სახელმწიფო ხაზინის ელექტრონული მომსახურების სისტემასთან ინტეგრირებული არსებული უზრუნველყოფის განახლება 2020 წლის ვერსიით </t>
  </si>
  <si>
    <t>7, 95</t>
  </si>
  <si>
    <t>ი.მ. გიორგი კანდელაკი „ვესტა“, შპს „პენსან ჯორჯია“</t>
  </si>
  <si>
    <t>შპს ვისტა</t>
  </si>
  <si>
    <t>შპს „მოტორსტარი“ შპს „ამბოლი“</t>
  </si>
  <si>
    <t xml:space="preserve">პსპ ფარმა  </t>
  </si>
  <si>
    <t>55, 98</t>
  </si>
  <si>
    <t>60, 99</t>
  </si>
  <si>
    <t>შპს გეპა</t>
  </si>
  <si>
    <t>შპს ,,კრეატივ-ჯგუფი’’</t>
  </si>
  <si>
    <t>შპს ,,ერთიგონი"</t>
  </si>
  <si>
    <t>კონსოლიდირებული შესყიდვა</t>
  </si>
  <si>
    <t>III კვარტალი 2020 წ.</t>
  </si>
  <si>
    <t>სამედიცინო სახარჯი მასალები (პირბადეები)</t>
  </si>
  <si>
    <t>სადეზინფექციო ხსნარი</t>
  </si>
  <si>
    <t>მერიის ადმინისტრაციული შენობის (ლ. ასათიანის ქ. N25) კარებისა და ფანჯრების აღდგენა-შეკეთების სამუშაოები</t>
  </si>
  <si>
    <t>შემცირდა 14500 ლარით</t>
  </si>
  <si>
    <t>შემცირდა 11558 ლარით</t>
  </si>
  <si>
    <t>შემცირდა 2345 ლარით</t>
  </si>
  <si>
    <t>შემცირდა 1360 ლარით</t>
  </si>
  <si>
    <t>შემცირდა 3296 ლარით</t>
  </si>
  <si>
    <t>შემცირდა 2500 ლარით</t>
  </si>
  <si>
    <t>შემცირდა 80 ლარით</t>
  </si>
  <si>
    <t>შემცირდა 12328 ლარით</t>
  </si>
  <si>
    <t>შემცირდა 19 ლარით</t>
  </si>
  <si>
    <t>შემცირდა 2380 ლარით</t>
  </si>
  <si>
    <t>შემცირდა 38 ლარით</t>
  </si>
  <si>
    <t>შემცირდა 7000 ლარით</t>
  </si>
  <si>
    <t>შემცირდა 8040 ლარით</t>
  </si>
  <si>
    <t>შემცირდა 35233,94 ლარით</t>
  </si>
  <si>
    <t>შემცირდა 17 ლარით</t>
  </si>
  <si>
    <t>შემცირდა 298 ლარით</t>
  </si>
  <si>
    <t>შემცირდა 223 ლარით</t>
  </si>
  <si>
    <t>შემცირდა 69988 ლარით</t>
  </si>
  <si>
    <t>შემცირდა 1113 ლარით</t>
  </si>
  <si>
    <t>შემცირდა 5255 ლარით</t>
  </si>
  <si>
    <t>შემცირდა 910 ლარით</t>
  </si>
  <si>
    <t>შემცირდა 1631,25 ლარით</t>
  </si>
  <si>
    <t>შემცირდა 110 ლარით</t>
  </si>
  <si>
    <t>შემცირდა 1460 ლარით</t>
  </si>
  <si>
    <t>შემცირდა 1971 ლარით</t>
  </si>
  <si>
    <t>შემცირდა 2401 ლარით</t>
  </si>
  <si>
    <t>შემცირდა 1355 ლარით</t>
  </si>
  <si>
    <t>შემცირდა 5191 ლარით</t>
  </si>
  <si>
    <t>სტიქიის შედეგად მიყენებული ზიანის ლიკვიდაციისათვის განსახორციელებელი სამუშაოების საპროექტო-სახარჯთაღრიცხვო დოკუმენტაციის შედგენის მომსახურება</t>
  </si>
  <si>
    <t>2016-2020</t>
  </si>
  <si>
    <t>I კვარტალი 2016 წ.</t>
  </si>
  <si>
    <t>მიუთითეთ საერთო თანხა</t>
  </si>
  <si>
    <t>სატრანსპორტო საშუალებების რეგისტრაცია</t>
  </si>
  <si>
    <t>8, 89, 106</t>
  </si>
  <si>
    <t>71, 107</t>
  </si>
  <si>
    <t>შპს ,,გოლდმედი</t>
  </si>
  <si>
    <t>შპს "ალბატროსი-68"</t>
  </si>
  <si>
    <t>9, 65, 100, 110</t>
  </si>
  <si>
    <t>შპს ,,ვიდისი“</t>
  </si>
  <si>
    <t>81, 97,101, 112</t>
  </si>
  <si>
    <t>შპს „ირინა შანიძე დაკომპანია“</t>
  </si>
  <si>
    <t>114, 115</t>
  </si>
  <si>
    <t>შპს იუ-ჯი-თი</t>
  </si>
  <si>
    <t>შემცირდა 11000 ლარით</t>
  </si>
  <si>
    <t>შემცირდა 2240 ლარით</t>
  </si>
  <si>
    <t>პლანშეტური კომპიუტერის (ტაბლეტის) შესყიდვა</t>
  </si>
  <si>
    <t>სამედიცინო პირბადეები</t>
  </si>
  <si>
    <t xml:space="preserve">მულტიფუნქციური (კომბინირებული) პრინტერი </t>
  </si>
  <si>
    <t>CD-R დისკების შეძენა</t>
  </si>
  <si>
    <t>გაიზარდა 255 ლარით</t>
  </si>
  <si>
    <t>მომსახურება ურბანული დაგეგმარებისა და ლანდშაფტური არქიტექტურის სფეროში</t>
  </si>
  <si>
    <t>ქალაქ ბათუმის მუნიციპალიტეტის
სივრცითი განვითარებისა და განაშენიანების მართვის დოკუმენტაციის შემუშავება</t>
  </si>
  <si>
    <t>ქ. ბათუმის მუნიციპალიტეტის სივრცითი განციტარებისა და განაშენიანების მართვის დოკუმენტის შედგენა</t>
  </si>
  <si>
    <t>IV კვარტალი 2020 წ.</t>
  </si>
  <si>
    <t>2020-2021-2022</t>
  </si>
  <si>
    <t>შემცირდა 500 ლარით</t>
  </si>
  <si>
    <t>შემირდა 1200 ლარით )</t>
  </si>
  <si>
    <t>შემცირდა 755 ლარით</t>
  </si>
  <si>
    <t>შემცირდა 414 ლარით</t>
  </si>
  <si>
    <t>გაიზარდა 4869 ლარით</t>
  </si>
  <si>
    <t>თარიღის დასასმელი შტამპები</t>
  </si>
  <si>
    <t>ტვირთის გადაზიდვისა და შენახვის მომსახურებები</t>
  </si>
  <si>
    <t xml:space="preserve">ტვირთის (საშეშე მერქნის) გადატანის მომსახურება </t>
  </si>
  <si>
    <t>დაემატა 237 ლარი</t>
  </si>
  <si>
    <t>გაიზარდა 250 ლარით</t>
  </si>
  <si>
    <t>გაიზარდა 980 ლარით</t>
  </si>
  <si>
    <t>კვლევასა და განვითარებასთან დაკავშირებული საკონსულტაციო მომსახურებები</t>
  </si>
  <si>
    <t>ბუღალტრული აღრიცხვის საერთაშორისო სტანდარტების (სსბასს) საფუძველზე დარიცხვის მეთოდით ბუღალტრული აღრიცხვის და ფინანსური ანგარიშგების შიდა სააღრიცხვო პოლიტიკის შემუშავებაში საკონსულტაციო მომსახურება</t>
  </si>
  <si>
    <r>
      <t xml:space="preserve"> 1. შედგენის თარიღი:
8 დეკემბერი</t>
    </r>
    <r>
      <rPr>
        <b/>
        <sz val="11"/>
        <rFont val="Sylfaen"/>
        <family val="1"/>
      </rPr>
      <t xml:space="preserve"> 2020 წ.</t>
    </r>
  </si>
  <si>
    <t>ქ. ბათუმის მუნიციპალიტეტის მერიის 2020 წლის შესყიდვების გეგმა მეოთხე კვარტლის მდგომარეობით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</si>
</sst>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.00_₾_-;\-* #,##0.00_₾_-;_-* &quot;-&quot;??_₾_-;_-@_-"/>
    <numFmt numFmtId="165" formatCode="_-* #,##0.00\ _L_a_r_i_-;\-* #,##0.00\ _L_a_r_i_-;_-* &quot;-&quot;??\ _L_a_r_i_-;_-@_-"/>
    <numFmt numFmtId="166" formatCode="_-* #,##0.00_ _-;\-* #,##0.00_ _-;_-* &quot;-&quot;??_ _-;_-@_-"/>
    <numFmt numFmtId="167" formatCode="_-* #,##0.00_р_._-;\-* #,##0.00_р_._-;_-* &quot;-&quot;??_р_._-;_-@_-"/>
    <numFmt numFmtId="168" formatCode="#,##0.0"/>
    <numFmt numFmtId="169" formatCode="#,##0.00_ ;[Red]\-#,##0.00&quot; &quot;"/>
    <numFmt numFmtId="170" formatCode="0.0%"/>
    <numFmt numFmtId="171" formatCode="0.000"/>
    <numFmt numFmtId="172" formatCode="_-* #,##0\ _L_._-;\-* #,##0\ _L_._-;_-* &quot;-&quot;\ _L_._-;_-@_-"/>
    <numFmt numFmtId="173" formatCode="_-* #,##0.00\ _L_._-;\-* #,##0.00\ _L_._-;_-* &quot;-&quot;??\ _L_._-;_-@_-"/>
    <numFmt numFmtId="174" formatCode="_ * #,##0_)\ _L_ ;_ * \(#,##0\)\ _L_ ;_ * &quot;-&quot;_)\ _L_ ;_ @_ "/>
    <numFmt numFmtId="175" formatCode="_ * #,##0.00_)\ _L_ ;_ * \(#,##0.00\)\ _L_ ;_ * &quot;-&quot;??_)\ _L_ ;_ @_ "/>
    <numFmt numFmtId="176" formatCode="0.00_ ;[Red]\-0.00&quot; &quot;"/>
    <numFmt numFmtId="177" formatCode="#,##0_ ;[Red]\-#,##0&quot; &quot;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8"/>
      <name val="Sylfaen"/>
      <family val="1"/>
      <charset val="204"/>
    </font>
    <font>
      <b/>
      <sz val="8"/>
      <name val="Sylfaen"/>
      <family val="1"/>
      <charset val="204"/>
    </font>
    <font>
      <sz val="11"/>
      <name val="Cambria"/>
      <family val="1"/>
      <charset val="204"/>
      <scheme val="major"/>
    </font>
    <font>
      <sz val="8"/>
      <name val="Sylfaen"/>
      <family val="1"/>
    </font>
    <font>
      <sz val="11"/>
      <name val="Sylfaen"/>
      <family val="1"/>
      <charset val="204"/>
    </font>
    <font>
      <sz val="10"/>
      <name val="Sylfaen"/>
      <family val="1"/>
      <charset val="204"/>
    </font>
    <font>
      <b/>
      <sz val="11"/>
      <name val="Sylfaen"/>
      <family val="1"/>
      <charset val="204"/>
    </font>
    <font>
      <b/>
      <sz val="11"/>
      <name val="Sylfaen"/>
      <family val="1"/>
    </font>
    <font>
      <sz val="11"/>
      <name val="Sylfaen"/>
      <family val="1"/>
    </font>
    <font>
      <sz val="10"/>
      <name val="Sylfaen"/>
      <family val="1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scheme val="major"/>
    </font>
    <font>
      <b/>
      <sz val="9"/>
      <name val="Sylfaen"/>
      <family val="1"/>
    </font>
    <font>
      <sz val="11"/>
      <color theme="1"/>
      <name val="Calibri"/>
      <family val="2"/>
      <scheme val="minor"/>
    </font>
    <font>
      <b/>
      <sz val="10"/>
      <name val="Sylfaen"/>
      <family val="1"/>
      <charset val="204"/>
    </font>
    <font>
      <b/>
      <sz val="11"/>
      <color theme="1"/>
      <name val="Calibri"/>
      <family val="2"/>
      <scheme val="minor"/>
    </font>
    <font>
      <sz val="8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b/>
      <sz val="8"/>
      <name val="Sylfaen"/>
      <family val="1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5"/>
      <name val="Sylfaen"/>
      <family val="1"/>
    </font>
    <font>
      <sz val="10"/>
      <name val="Arial Cyr"/>
      <charset val="204"/>
    </font>
    <font>
      <sz val="9"/>
      <name val="Sylfaen"/>
      <family val="1"/>
    </font>
    <font>
      <sz val="10"/>
      <name val="Arial Cyr"/>
    </font>
    <font>
      <sz val="10"/>
      <name val="Literaturuly"/>
      <family val="2"/>
    </font>
    <font>
      <sz val="1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rgb="FFFF0000"/>
      <name val="Sylfaen"/>
      <family val="1"/>
      <charset val="204"/>
    </font>
    <font>
      <sz val="10"/>
      <color rgb="FF0000CC"/>
      <name val="Cambria"/>
      <family val="1"/>
      <scheme val="major"/>
    </font>
    <font>
      <sz val="8.5"/>
      <name val="Sylfaen"/>
      <family val="1"/>
      <charset val="204"/>
    </font>
    <font>
      <sz val="7.5"/>
      <name val="Sylfaen"/>
      <family val="1"/>
      <charset val="204"/>
    </font>
    <font>
      <sz val="10"/>
      <color theme="0" tint="-0.499984740745262"/>
      <name val="Sylfaen"/>
      <family val="1"/>
    </font>
    <font>
      <sz val="10"/>
      <color theme="0" tint="-0.499984740745262"/>
      <name val="Sylfaen"/>
      <family val="1"/>
      <charset val="204"/>
    </font>
    <font>
      <sz val="10"/>
      <color theme="0" tint="-0.499984740745262"/>
      <name val="Cambria"/>
      <family val="1"/>
      <charset val="204"/>
      <scheme val="major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0"/>
      <color rgb="FF0000FF"/>
      <name val="Cambria"/>
      <family val="1"/>
      <scheme val="major"/>
    </font>
    <font>
      <sz val="10"/>
      <color rgb="FF0000FF"/>
      <name val="Cambria"/>
      <family val="1"/>
      <scheme val="major"/>
    </font>
    <font>
      <sz val="10"/>
      <color rgb="FF0000FF"/>
      <name val="Sylfaen"/>
      <family val="1"/>
    </font>
    <font>
      <sz val="10"/>
      <name val="Arial Cyr"/>
      <charset val="1"/>
    </font>
    <font>
      <b/>
      <u/>
      <sz val="11"/>
      <color theme="0"/>
      <name val="Sylfaen"/>
      <family val="1"/>
      <charset val="204"/>
    </font>
    <font>
      <sz val="8"/>
      <color theme="1"/>
      <name val="Sylfaen"/>
      <family val="1"/>
      <charset val="204"/>
    </font>
    <font>
      <sz val="8"/>
      <color rgb="FFFF0000"/>
      <name val="Sylfaen"/>
      <family val="1"/>
    </font>
    <font>
      <sz val="11"/>
      <color rgb="FFFF0000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CC"/>
      <name val="Sylfaen"/>
      <family val="1"/>
    </font>
    <font>
      <sz val="8"/>
      <color rgb="FF0000CC"/>
      <name val="Sylfaen"/>
      <family val="1"/>
      <charset val="204"/>
    </font>
    <font>
      <sz val="9"/>
      <color rgb="FF0000CC"/>
      <name val="Sylfaen"/>
      <family val="1"/>
      <charset val="204"/>
    </font>
    <font>
      <sz val="10"/>
      <color rgb="FF0000CC"/>
      <name val="Sylfaen"/>
      <family val="1"/>
      <charset val="204"/>
    </font>
    <font>
      <sz val="8"/>
      <color rgb="FF0000CC"/>
      <name val="Sylfaen"/>
      <family val="1"/>
    </font>
    <font>
      <sz val="8"/>
      <color theme="1"/>
      <name val="Sylfaen"/>
      <family val="1"/>
    </font>
    <font>
      <sz val="10"/>
      <color rgb="FF0000FF"/>
      <name val="Sylfae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2" tint="-0.499984740745262"/>
      </right>
      <top style="thin">
        <color theme="0" tint="-0.34998626667073579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</borders>
  <cellStyleXfs count="117">
    <xf numFmtId="0" fontId="0" fillId="0" borderId="0"/>
    <xf numFmtId="9" fontId="1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0" fillId="0" borderId="11">
      <alignment horizontal="center" vertical="center"/>
    </xf>
    <xf numFmtId="0" fontId="29" fillId="0" borderId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3" fillId="0" borderId="0"/>
    <xf numFmtId="167" fontId="3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6" fillId="0" borderId="0"/>
    <xf numFmtId="0" fontId="35" fillId="0" borderId="0"/>
    <xf numFmtId="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66" fontId="38" fillId="0" borderId="0" applyFont="0" applyFill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2" borderId="0" applyNumberFormat="0" applyBorder="0" applyAlignment="0" applyProtection="0"/>
    <xf numFmtId="0" fontId="40" fillId="10" borderId="12" applyNumberFormat="0" applyAlignment="0" applyProtection="0"/>
    <xf numFmtId="0" fontId="41" fillId="23" borderId="13" applyNumberFormat="0" applyAlignment="0" applyProtection="0"/>
    <xf numFmtId="0" fontId="42" fillId="23" borderId="12" applyNumberFormat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7" fillId="24" borderId="18" applyNumberFormat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34" fillId="26" borderId="19" applyNumberFormat="0" applyFont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5" fillId="26" borderId="19" applyNumberFormat="0" applyFont="0" applyAlignment="0" applyProtection="0"/>
    <xf numFmtId="164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8" fillId="0" borderId="0"/>
  </cellStyleXfs>
  <cellXfs count="272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vertical="center" wrapText="1"/>
    </xf>
    <xf numFmtId="4" fontId="12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0" fillId="0" borderId="10" xfId="0" applyBorder="1"/>
    <xf numFmtId="0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/>
    </xf>
    <xf numFmtId="4" fontId="2" fillId="3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Alignment="1">
      <alignment vertical="center" wrapText="1"/>
    </xf>
    <xf numFmtId="4" fontId="9" fillId="3" borderId="0" xfId="0" applyNumberFormat="1" applyFont="1" applyFill="1" applyAlignment="1">
      <alignment horizontal="center" vertical="center" wrapText="1"/>
    </xf>
    <xf numFmtId="0" fontId="21" fillId="3" borderId="0" xfId="0" applyFont="1" applyFill="1" applyAlignment="1">
      <alignment vertical="center" wrapText="1"/>
    </xf>
    <xf numFmtId="170" fontId="17" fillId="3" borderId="0" xfId="1" applyNumberFormat="1" applyFont="1" applyFill="1" applyBorder="1" applyAlignment="1">
      <alignment horizontal="center" vertical="center" wrapText="1"/>
    </xf>
    <xf numFmtId="9" fontId="17" fillId="3" borderId="0" xfId="1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2" fontId="26" fillId="3" borderId="1" xfId="0" applyNumberFormat="1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vertical="center" wrapText="1"/>
    </xf>
    <xf numFmtId="2" fontId="4" fillId="3" borderId="3" xfId="0" applyNumberFormat="1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1" fontId="10" fillId="0" borderId="0" xfId="0" applyNumberFormat="1" applyFont="1" applyFill="1" applyAlignment="1">
      <alignment horizontal="center" vertical="center" wrapText="1"/>
    </xf>
    <xf numFmtId="176" fontId="2" fillId="3" borderId="0" xfId="0" applyNumberFormat="1" applyFont="1" applyFill="1" applyBorder="1" applyAlignment="1">
      <alignment horizontal="right" vertical="center" wrapText="1"/>
    </xf>
    <xf numFmtId="176" fontId="6" fillId="3" borderId="0" xfId="0" applyNumberFormat="1" applyFont="1" applyFill="1" applyBorder="1" applyAlignment="1">
      <alignment vertical="center" wrapText="1"/>
    </xf>
    <xf numFmtId="176" fontId="2" fillId="3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vertical="center" wrapText="1"/>
    </xf>
    <xf numFmtId="2" fontId="4" fillId="3" borderId="5" xfId="0" applyNumberFormat="1" applyFont="1" applyFill="1" applyBorder="1" applyAlignment="1">
      <alignment vertical="center" wrapText="1"/>
    </xf>
    <xf numFmtId="2" fontId="4" fillId="3" borderId="3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2" fontId="7" fillId="3" borderId="2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169" fontId="9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Fill="1" applyAlignment="1">
      <alignment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49" fontId="16" fillId="4" borderId="21" xfId="0" applyNumberFormat="1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 wrapText="1"/>
    </xf>
    <xf numFmtId="49" fontId="16" fillId="0" borderId="21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 wrapText="1"/>
    </xf>
    <xf numFmtId="49" fontId="31" fillId="0" borderId="21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 wrapText="1"/>
    </xf>
    <xf numFmtId="49" fontId="16" fillId="0" borderId="22" xfId="0" applyNumberFormat="1" applyFont="1" applyFill="1" applyBorder="1" applyAlignment="1">
      <alignment horizontal="center" vertical="center"/>
    </xf>
    <xf numFmtId="49" fontId="31" fillId="0" borderId="22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left" vertical="center" wrapText="1"/>
    </xf>
    <xf numFmtId="168" fontId="59" fillId="0" borderId="0" xfId="0" applyNumberFormat="1" applyFont="1" applyFill="1" applyAlignment="1">
      <alignment vertical="center" wrapText="1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2" fontId="4" fillId="3" borderId="3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4" fontId="63" fillId="0" borderId="0" xfId="0" applyNumberFormat="1" applyFont="1" applyBorder="1" applyAlignment="1">
      <alignment horizontal="center" vertical="center" wrapText="1"/>
    </xf>
    <xf numFmtId="4" fontId="63" fillId="3" borderId="0" xfId="0" applyNumberFormat="1" applyFont="1" applyFill="1" applyBorder="1" applyAlignment="1">
      <alignment horizontal="center" vertical="center" wrapText="1"/>
    </xf>
    <xf numFmtId="3" fontId="64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177" fontId="7" fillId="3" borderId="1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177" fontId="4" fillId="3" borderId="3" xfId="0" applyNumberFormat="1" applyFont="1" applyFill="1" applyBorder="1" applyAlignment="1">
      <alignment horizontal="center" vertical="center" wrapText="1"/>
    </xf>
    <xf numFmtId="49" fontId="65" fillId="0" borderId="21" xfId="0" applyNumberFormat="1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vertical="center" wrapText="1"/>
    </xf>
    <xf numFmtId="49" fontId="66" fillId="0" borderId="21" xfId="0" applyNumberFormat="1" applyFont="1" applyFill="1" applyBorder="1" applyAlignment="1">
      <alignment horizontal="center" vertical="center"/>
    </xf>
    <xf numFmtId="0" fontId="67" fillId="0" borderId="22" xfId="12" applyFont="1" applyFill="1" applyBorder="1" applyAlignment="1">
      <alignment vertical="center" wrapText="1"/>
    </xf>
    <xf numFmtId="0" fontId="66" fillId="0" borderId="22" xfId="0" applyFont="1" applyFill="1" applyBorder="1" applyAlignment="1">
      <alignment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8" fontId="59" fillId="0" borderId="0" xfId="0" applyNumberFormat="1" applyFont="1" applyFill="1" applyAlignment="1">
      <alignment vertical="center" wrapText="1"/>
    </xf>
    <xf numFmtId="4" fontId="13" fillId="3" borderId="1" xfId="0" applyNumberFormat="1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2" fontId="7" fillId="3" borderId="2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right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right" vertical="center" wrapText="1"/>
    </xf>
    <xf numFmtId="0" fontId="70" fillId="0" borderId="1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0" fontId="63" fillId="0" borderId="1" xfId="0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right" vertical="center" wrapText="1"/>
    </xf>
    <xf numFmtId="49" fontId="31" fillId="29" borderId="21" xfId="0" applyNumberFormat="1" applyFont="1" applyFill="1" applyBorder="1" applyAlignment="1">
      <alignment horizontal="center" vertical="center"/>
    </xf>
    <xf numFmtId="0" fontId="31" fillId="29" borderId="22" xfId="0" applyFont="1" applyFill="1" applyBorder="1" applyAlignment="1">
      <alignment vertical="center" wrapText="1"/>
    </xf>
    <xf numFmtId="2" fontId="55" fillId="3" borderId="3" xfId="0" applyNumberFormat="1" applyFont="1" applyFill="1" applyBorder="1" applyAlignment="1">
      <alignment horizontal="left" vertical="center" wrapText="1"/>
    </xf>
    <xf numFmtId="2" fontId="55" fillId="3" borderId="1" xfId="0" applyNumberFormat="1" applyFont="1" applyFill="1" applyBorder="1" applyAlignment="1">
      <alignment vertical="center" wrapText="1"/>
    </xf>
    <xf numFmtId="0" fontId="72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2" fontId="7" fillId="3" borderId="3" xfId="0" applyNumberFormat="1" applyFont="1" applyFill="1" applyBorder="1" applyAlignment="1">
      <alignment vertical="center" wrapText="1"/>
    </xf>
    <xf numFmtId="0" fontId="55" fillId="0" borderId="1" xfId="0" applyFont="1" applyFill="1" applyBorder="1" applyAlignment="1">
      <alignment horizontal="right" vertical="center" wrapText="1"/>
    </xf>
    <xf numFmtId="2" fontId="7" fillId="3" borderId="3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3" fontId="17" fillId="3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4" fontId="63" fillId="0" borderId="1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2" fontId="55" fillId="3" borderId="3" xfId="0" applyNumberFormat="1" applyFont="1" applyFill="1" applyBorder="1" applyAlignment="1">
      <alignment horizontal="right" vertical="center" wrapText="1"/>
    </xf>
    <xf numFmtId="1" fontId="55" fillId="3" borderId="1" xfId="0" applyNumberFormat="1" applyFont="1" applyFill="1" applyBorder="1" applyAlignment="1">
      <alignment horizontal="center" vertical="center" wrapText="1"/>
    </xf>
    <xf numFmtId="2" fontId="71" fillId="3" borderId="1" xfId="0" applyNumberFormat="1" applyFont="1" applyFill="1" applyBorder="1" applyAlignment="1">
      <alignment horizontal="right" vertical="center" wrapText="1"/>
    </xf>
    <xf numFmtId="1" fontId="71" fillId="3" borderId="1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167" fontId="62" fillId="27" borderId="23" xfId="13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right" vertical="center" wrapText="1"/>
    </xf>
    <xf numFmtId="2" fontId="71" fillId="3" borderId="1" xfId="0" applyNumberFormat="1" applyFont="1" applyFill="1" applyBorder="1" applyAlignment="1">
      <alignment vertical="center" wrapText="1"/>
    </xf>
    <xf numFmtId="177" fontId="71" fillId="3" borderId="1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2" fontId="55" fillId="3" borderId="1" xfId="0" applyNumberFormat="1" applyFont="1" applyFill="1" applyBorder="1" applyAlignment="1">
      <alignment horizontal="left" vertical="center" wrapText="1"/>
    </xf>
    <xf numFmtId="2" fontId="71" fillId="3" borderId="1" xfId="0" applyNumberFormat="1" applyFont="1" applyFill="1" applyBorder="1" applyAlignment="1">
      <alignment horizontal="left" vertical="center" wrapText="1"/>
    </xf>
    <xf numFmtId="177" fontId="55" fillId="0" borderId="3" xfId="0" applyNumberFormat="1" applyFont="1" applyFill="1" applyBorder="1" applyAlignment="1">
      <alignment horizontal="center" vertical="center" wrapText="1"/>
    </xf>
    <xf numFmtId="177" fontId="7" fillId="3" borderId="3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177" fontId="55" fillId="3" borderId="1" xfId="0" applyNumberFormat="1" applyFont="1" applyFill="1" applyBorder="1" applyAlignment="1">
      <alignment horizontal="center" vertical="center" wrapText="1"/>
    </xf>
    <xf numFmtId="2" fontId="7" fillId="28" borderId="1" xfId="0" applyNumberFormat="1" applyFont="1" applyFill="1" applyBorder="1" applyAlignment="1">
      <alignment vertical="center" wrapText="1"/>
    </xf>
    <xf numFmtId="1" fontId="4" fillId="28" borderId="1" xfId="0" applyNumberFormat="1" applyFont="1" applyFill="1" applyBorder="1" applyAlignment="1">
      <alignment horizontal="center" vertical="center" wrapText="1"/>
    </xf>
    <xf numFmtId="177" fontId="4" fillId="28" borderId="1" xfId="0" applyNumberFormat="1" applyFont="1" applyFill="1" applyBorder="1" applyAlignment="1">
      <alignment horizontal="center" vertical="center" wrapText="1"/>
    </xf>
    <xf numFmtId="0" fontId="4" fillId="28" borderId="1" xfId="0" applyNumberFormat="1" applyFont="1" applyFill="1" applyBorder="1" applyAlignment="1">
      <alignment horizontal="center" vertical="center" wrapText="1"/>
    </xf>
    <xf numFmtId="2" fontId="26" fillId="28" borderId="1" xfId="0" applyNumberFormat="1" applyFont="1" applyFill="1" applyBorder="1" applyAlignment="1">
      <alignment horizontal="left" vertical="center" wrapText="1"/>
    </xf>
    <xf numFmtId="2" fontId="4" fillId="28" borderId="1" xfId="0" applyNumberFormat="1" applyFont="1" applyFill="1" applyBorder="1" applyAlignment="1">
      <alignment vertical="center" wrapText="1"/>
    </xf>
    <xf numFmtId="2" fontId="7" fillId="28" borderId="1" xfId="0" applyNumberFormat="1" applyFont="1" applyFill="1" applyBorder="1" applyAlignment="1">
      <alignment horizontal="left" vertical="center" wrapText="1"/>
    </xf>
    <xf numFmtId="2" fontId="7" fillId="28" borderId="2" xfId="0" applyNumberFormat="1" applyFont="1" applyFill="1" applyBorder="1" applyAlignment="1">
      <alignment horizontal="left" vertical="center" wrapText="1"/>
    </xf>
    <xf numFmtId="0" fontId="2" fillId="28" borderId="6" xfId="0" applyFont="1" applyFill="1" applyBorder="1" applyAlignment="1">
      <alignment horizontal="center" vertical="center" wrapText="1"/>
    </xf>
    <xf numFmtId="4" fontId="2" fillId="28" borderId="6" xfId="0" applyNumberFormat="1" applyFont="1" applyFill="1" applyBorder="1" applyAlignment="1">
      <alignment horizontal="center" vertical="center" wrapText="1"/>
    </xf>
    <xf numFmtId="0" fontId="6" fillId="28" borderId="0" xfId="0" applyFont="1" applyFill="1" applyAlignment="1">
      <alignment vertical="center" wrapText="1"/>
    </xf>
    <xf numFmtId="0" fontId="76" fillId="3" borderId="6" xfId="0" applyFont="1" applyFill="1" applyBorder="1" applyAlignment="1">
      <alignment horizontal="center" vertical="center" wrapText="1"/>
    </xf>
    <xf numFmtId="4" fontId="76" fillId="3" borderId="6" xfId="0" applyNumberFormat="1" applyFont="1" applyFill="1" applyBorder="1" applyAlignment="1">
      <alignment horizontal="center" vertical="center" wrapText="1"/>
    </xf>
    <xf numFmtId="0" fontId="77" fillId="3" borderId="6" xfId="0" applyFont="1" applyFill="1" applyBorder="1" applyAlignment="1">
      <alignment horizontal="left" vertical="center" wrapText="1"/>
    </xf>
    <xf numFmtId="0" fontId="78" fillId="3" borderId="6" xfId="0" applyFont="1" applyFill="1" applyBorder="1" applyAlignment="1">
      <alignment horizontal="center" vertical="center" wrapText="1"/>
    </xf>
    <xf numFmtId="4" fontId="78" fillId="3" borderId="6" xfId="0" applyNumberFormat="1" applyFont="1" applyFill="1" applyBorder="1" applyAlignment="1">
      <alignment horizontal="center" vertical="center" wrapText="1"/>
    </xf>
    <xf numFmtId="0" fontId="80" fillId="3" borderId="6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 wrapText="1"/>
    </xf>
    <xf numFmtId="49" fontId="16" fillId="30" borderId="21" xfId="0" applyNumberFormat="1" applyFont="1" applyFill="1" applyBorder="1" applyAlignment="1">
      <alignment horizontal="center" vertical="center"/>
    </xf>
    <xf numFmtId="0" fontId="16" fillId="30" borderId="22" xfId="0" applyFont="1" applyFill="1" applyBorder="1" applyAlignment="1">
      <alignment vertical="center" wrapText="1"/>
    </xf>
    <xf numFmtId="49" fontId="16" fillId="29" borderId="21" xfId="0" applyNumberFormat="1" applyFont="1" applyFill="1" applyBorder="1" applyAlignment="1">
      <alignment horizontal="center" vertical="center"/>
    </xf>
    <xf numFmtId="0" fontId="16" fillId="29" borderId="22" xfId="0" applyFont="1" applyFill="1" applyBorder="1" applyAlignment="1">
      <alignment vertical="center" wrapText="1"/>
    </xf>
    <xf numFmtId="0" fontId="76" fillId="0" borderId="6" xfId="0" applyFont="1" applyFill="1" applyBorder="1" applyAlignment="1">
      <alignment horizontal="center" vertical="center" wrapText="1"/>
    </xf>
    <xf numFmtId="4" fontId="76" fillId="0" borderId="6" xfId="0" applyNumberFormat="1" applyFont="1" applyFill="1" applyBorder="1" applyAlignment="1">
      <alignment horizontal="center" vertical="center" wrapText="1"/>
    </xf>
    <xf numFmtId="0" fontId="80" fillId="0" borderId="6" xfId="0" applyFont="1" applyFill="1" applyBorder="1" applyAlignment="1">
      <alignment horizontal="left" vertical="center" wrapText="1"/>
    </xf>
    <xf numFmtId="0" fontId="76" fillId="31" borderId="6" xfId="0" applyFont="1" applyFill="1" applyBorder="1" applyAlignment="1">
      <alignment horizontal="center" vertical="center" wrapText="1"/>
    </xf>
    <xf numFmtId="4" fontId="76" fillId="31" borderId="6" xfId="0" applyNumberFormat="1" applyFont="1" applyFill="1" applyBorder="1" applyAlignment="1">
      <alignment horizontal="center" vertical="center" wrapText="1"/>
    </xf>
    <xf numFmtId="0" fontId="80" fillId="31" borderId="6" xfId="0" applyFont="1" applyFill="1" applyBorder="1" applyAlignment="1">
      <alignment horizontal="left" vertical="center" wrapText="1"/>
    </xf>
    <xf numFmtId="167" fontId="62" fillId="27" borderId="1" xfId="13" applyFont="1" applyFill="1" applyBorder="1" applyAlignment="1">
      <alignment horizontal="center" vertical="center" wrapText="1"/>
    </xf>
    <xf numFmtId="167" fontId="82" fillId="0" borderId="0" xfId="13" applyFont="1" applyFill="1" applyBorder="1" applyAlignment="1">
      <alignment horizontal="center" vertical="center" wrapText="1"/>
    </xf>
    <xf numFmtId="0" fontId="62" fillId="27" borderId="1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5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3" borderId="2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" fontId="16" fillId="3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7" fillId="3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2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4"/>
    </xf>
    <xf numFmtId="0" fontId="10" fillId="0" borderId="1" xfId="0" applyFont="1" applyFill="1" applyBorder="1" applyAlignment="1">
      <alignment horizontal="left" vertical="center" wrapText="1" indent="4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4" fontId="69" fillId="0" borderId="1" xfId="0" applyNumberFormat="1" applyFont="1" applyFill="1" applyBorder="1" applyAlignment="1">
      <alignment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57" fillId="0" borderId="1" xfId="0" applyNumberFormat="1" applyFont="1" applyFill="1" applyBorder="1" applyAlignment="1">
      <alignment vertical="center" wrapText="1"/>
    </xf>
    <xf numFmtId="0" fontId="57" fillId="0" borderId="1" xfId="0" applyFont="1" applyFill="1" applyBorder="1" applyAlignment="1">
      <alignment vertical="center" wrapText="1"/>
    </xf>
    <xf numFmtId="0" fontId="57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</cellXfs>
  <cellStyles count="117">
    <cellStyle name="20% - Акцент1" xfId="61" xr:uid="{00000000-0005-0000-0000-000000000000}"/>
    <cellStyle name="20% - Акцент2" xfId="62" xr:uid="{00000000-0005-0000-0000-000001000000}"/>
    <cellStyle name="20% - Акцент3" xfId="63" xr:uid="{00000000-0005-0000-0000-000002000000}"/>
    <cellStyle name="20% - Акцент4" xfId="64" xr:uid="{00000000-0005-0000-0000-000003000000}"/>
    <cellStyle name="20% - Акцент5" xfId="65" xr:uid="{00000000-0005-0000-0000-000004000000}"/>
    <cellStyle name="20% - Акцент6" xfId="66" xr:uid="{00000000-0005-0000-0000-000005000000}"/>
    <cellStyle name="40% - Акцент1" xfId="67" xr:uid="{00000000-0005-0000-0000-000006000000}"/>
    <cellStyle name="40% - Акцент2" xfId="68" xr:uid="{00000000-0005-0000-0000-000007000000}"/>
    <cellStyle name="40% - Акцент3" xfId="69" xr:uid="{00000000-0005-0000-0000-000008000000}"/>
    <cellStyle name="40% - Акцент4" xfId="70" xr:uid="{00000000-0005-0000-0000-000009000000}"/>
    <cellStyle name="40% - Акцент5" xfId="71" xr:uid="{00000000-0005-0000-0000-00000A000000}"/>
    <cellStyle name="40% - Акцент6" xfId="72" xr:uid="{00000000-0005-0000-0000-00000B000000}"/>
    <cellStyle name="60% - Акцент1" xfId="73" xr:uid="{00000000-0005-0000-0000-00000C000000}"/>
    <cellStyle name="60% - Акцент2" xfId="74" xr:uid="{00000000-0005-0000-0000-00000D000000}"/>
    <cellStyle name="60% - Акцент3" xfId="75" xr:uid="{00000000-0005-0000-0000-00000E000000}"/>
    <cellStyle name="60% - Акцент4" xfId="76" xr:uid="{00000000-0005-0000-0000-00000F000000}"/>
    <cellStyle name="60% - Акцент5" xfId="77" xr:uid="{00000000-0005-0000-0000-000010000000}"/>
    <cellStyle name="60% - Акцент6" xfId="78" xr:uid="{00000000-0005-0000-0000-000011000000}"/>
    <cellStyle name="Comma 2" xfId="3" xr:uid="{00000000-0005-0000-0000-000012000000}"/>
    <cellStyle name="Comma 2 2" xfId="10" xr:uid="{00000000-0005-0000-0000-000013000000}"/>
    <cellStyle name="Comma 2 2 2" xfId="79" xr:uid="{00000000-0005-0000-0000-000014000000}"/>
    <cellStyle name="Comma 2 2 3" xfId="113" xr:uid="{00000000-0005-0000-0000-000015000000}"/>
    <cellStyle name="Comma 2 3" xfId="37" xr:uid="{00000000-0005-0000-0000-000016000000}"/>
    <cellStyle name="Comma 2 4" xfId="50" xr:uid="{00000000-0005-0000-0000-000017000000}"/>
    <cellStyle name="Comma 2 5" xfId="109" xr:uid="{00000000-0005-0000-0000-000018000000}"/>
    <cellStyle name="Comma 3" xfId="13" xr:uid="{00000000-0005-0000-0000-000019000000}"/>
    <cellStyle name="Comma 3 2" xfId="38" xr:uid="{00000000-0005-0000-0000-00001A000000}"/>
    <cellStyle name="Comma 3 3" xfId="110" xr:uid="{00000000-0005-0000-0000-00001B000000}"/>
    <cellStyle name="Comma 4" xfId="36" xr:uid="{00000000-0005-0000-0000-00001C000000}"/>
    <cellStyle name="Comma 4 2" xfId="39" xr:uid="{00000000-0005-0000-0000-00001D000000}"/>
    <cellStyle name="Comma 4 3" xfId="111" xr:uid="{00000000-0005-0000-0000-00001E000000}"/>
    <cellStyle name="Comma 5" xfId="108" xr:uid="{00000000-0005-0000-0000-00001F000000}"/>
    <cellStyle name="dato" xfId="4" xr:uid="{00000000-0005-0000-0000-000020000000}"/>
    <cellStyle name="Îáû÷íûé_ÐÎÌÀÍ--Ø-8" xfId="5" xr:uid="{00000000-0005-0000-0000-000021000000}"/>
    <cellStyle name="Normal 2" xfId="2" xr:uid="{00000000-0005-0000-0000-000023000000}"/>
    <cellStyle name="Normal 2 2" xfId="41" xr:uid="{00000000-0005-0000-0000-000024000000}"/>
    <cellStyle name="Normal 2 3" xfId="40" xr:uid="{00000000-0005-0000-0000-000025000000}"/>
    <cellStyle name="Normal 2 3 2" xfId="33" xr:uid="{00000000-0005-0000-0000-000026000000}"/>
    <cellStyle name="Normal 3" xfId="12" xr:uid="{00000000-0005-0000-0000-000027000000}"/>
    <cellStyle name="Normal 3 2" xfId="42" xr:uid="{00000000-0005-0000-0000-000028000000}"/>
    <cellStyle name="Normal 3 2 2" xfId="56" xr:uid="{00000000-0005-0000-0000-000029000000}"/>
    <cellStyle name="Normal 3 2 3" xfId="58" xr:uid="{00000000-0005-0000-0000-00002A000000}"/>
    <cellStyle name="Normal 3 2 3 2" xfId="107" xr:uid="{00000000-0005-0000-0000-00002B000000}"/>
    <cellStyle name="Normal 3 2 4" xfId="104" xr:uid="{00000000-0005-0000-0000-00002C000000}"/>
    <cellStyle name="Normal 3 2 5" xfId="52" xr:uid="{00000000-0005-0000-0000-00002D000000}"/>
    <cellStyle name="Normal 3 3" xfId="54" xr:uid="{00000000-0005-0000-0000-00002E000000}"/>
    <cellStyle name="Normal 3 4" xfId="55" xr:uid="{00000000-0005-0000-0000-00002F000000}"/>
    <cellStyle name="Normal 3 5" xfId="57" xr:uid="{00000000-0005-0000-0000-000030000000}"/>
    <cellStyle name="Normal 3 6" xfId="105" xr:uid="{00000000-0005-0000-0000-000031000000}"/>
    <cellStyle name="Normal 3 7" xfId="49" xr:uid="{00000000-0005-0000-0000-000032000000}"/>
    <cellStyle name="Normal 39" xfId="34" xr:uid="{00000000-0005-0000-0000-000033000000}"/>
    <cellStyle name="Normal 4" xfId="14" xr:uid="{00000000-0005-0000-0000-000034000000}"/>
    <cellStyle name="Normal 4 2" xfId="44" xr:uid="{00000000-0005-0000-0000-000035000000}"/>
    <cellStyle name="Normal 4 3" xfId="43" xr:uid="{00000000-0005-0000-0000-000036000000}"/>
    <cellStyle name="Normal 5" xfId="32" xr:uid="{00000000-0005-0000-0000-000037000000}"/>
    <cellStyle name="Normal 5 2" xfId="53" xr:uid="{00000000-0005-0000-0000-000038000000}"/>
    <cellStyle name="Normal 5 2 2" xfId="103" xr:uid="{00000000-0005-0000-0000-000039000000}"/>
    <cellStyle name="Normal 5 3" xfId="59" xr:uid="{00000000-0005-0000-0000-00003A000000}"/>
    <cellStyle name="Normal 5 4" xfId="106" xr:uid="{00000000-0005-0000-0000-00003B000000}"/>
    <cellStyle name="Normal 5 5" xfId="51" xr:uid="{00000000-0005-0000-0000-00003C000000}"/>
    <cellStyle name="Normal 6" xfId="60" xr:uid="{00000000-0005-0000-0000-00003D000000}"/>
    <cellStyle name="Normal 6 2" xfId="114" xr:uid="{00000000-0005-0000-0000-00003E000000}"/>
    <cellStyle name="Ôèíàíñîâûé [0]_ÃËÀØÀ" xfId="6" xr:uid="{00000000-0005-0000-0000-00003F000000}"/>
    <cellStyle name="Ôèíàíñîâûé_ÃËÀØÀ" xfId="7" xr:uid="{00000000-0005-0000-0000-000040000000}"/>
    <cellStyle name="Òûñÿ÷è [0]_×èàòóðà Ô" xfId="8" xr:uid="{00000000-0005-0000-0000-000041000000}"/>
    <cellStyle name="Òûñÿ÷è_×èàòóðà Ô" xfId="9" xr:uid="{00000000-0005-0000-0000-000042000000}"/>
    <cellStyle name="Percent 2" xfId="11" xr:uid="{00000000-0005-0000-0000-000044000000}"/>
    <cellStyle name="Percent 2 2" xfId="45" xr:uid="{00000000-0005-0000-0000-000045000000}"/>
    <cellStyle name="Percent 2 3" xfId="115" xr:uid="{00000000-0005-0000-0000-000046000000}"/>
    <cellStyle name="Percent 3" xfId="35" xr:uid="{00000000-0005-0000-0000-000047000000}"/>
    <cellStyle name="Акцент1" xfId="80" xr:uid="{00000000-0005-0000-0000-000048000000}"/>
    <cellStyle name="Акцент2" xfId="81" xr:uid="{00000000-0005-0000-0000-000049000000}"/>
    <cellStyle name="Акцент3" xfId="82" xr:uid="{00000000-0005-0000-0000-00004A000000}"/>
    <cellStyle name="Акцент4" xfId="83" xr:uid="{00000000-0005-0000-0000-00004B000000}"/>
    <cellStyle name="Акцент5" xfId="84" xr:uid="{00000000-0005-0000-0000-00004C000000}"/>
    <cellStyle name="Акцент6" xfId="85" xr:uid="{00000000-0005-0000-0000-00004D000000}"/>
    <cellStyle name="Ввод " xfId="86" xr:uid="{00000000-0005-0000-0000-00004E000000}"/>
    <cellStyle name="Вывод" xfId="87" xr:uid="{00000000-0005-0000-0000-00004F000000}"/>
    <cellStyle name="Вычисление" xfId="88" xr:uid="{00000000-0005-0000-0000-000050000000}"/>
    <cellStyle name="Заголовок 1" xfId="89" xr:uid="{00000000-0005-0000-0000-000051000000}"/>
    <cellStyle name="Заголовок 2" xfId="90" xr:uid="{00000000-0005-0000-0000-000052000000}"/>
    <cellStyle name="Заголовок 3" xfId="91" xr:uid="{00000000-0005-0000-0000-000053000000}"/>
    <cellStyle name="Заголовок 4" xfId="92" xr:uid="{00000000-0005-0000-0000-000054000000}"/>
    <cellStyle name="Итог" xfId="93" xr:uid="{00000000-0005-0000-0000-000055000000}"/>
    <cellStyle name="Контрольная ячейка" xfId="94" xr:uid="{00000000-0005-0000-0000-000056000000}"/>
    <cellStyle name="Название" xfId="95" xr:uid="{00000000-0005-0000-0000-000057000000}"/>
    <cellStyle name="Нейтральный" xfId="96" xr:uid="{00000000-0005-0000-0000-000058000000}"/>
    <cellStyle name="Обычный" xfId="0" builtinId="0"/>
    <cellStyle name="Обычный 10" xfId="15" xr:uid="{00000000-0005-0000-0000-000059000000}"/>
    <cellStyle name="Обычный 10 2" xfId="16" xr:uid="{00000000-0005-0000-0000-00005A000000}"/>
    <cellStyle name="Обычный 2" xfId="17" xr:uid="{00000000-0005-0000-0000-00005B000000}"/>
    <cellStyle name="Обычный 2 2" xfId="46" xr:uid="{00000000-0005-0000-0000-00005C000000}"/>
    <cellStyle name="Обычный 2 3" xfId="116" xr:uid="{00000000-0005-0000-0000-00005D000000}"/>
    <cellStyle name="Обычный 3" xfId="18" xr:uid="{00000000-0005-0000-0000-00005E000000}"/>
    <cellStyle name="Обычный 3 2" xfId="19" xr:uid="{00000000-0005-0000-0000-00005F000000}"/>
    <cellStyle name="Обычный 3 3" xfId="47" xr:uid="{00000000-0005-0000-0000-000060000000}"/>
    <cellStyle name="Обычный 4" xfId="20" xr:uid="{00000000-0005-0000-0000-000061000000}"/>
    <cellStyle name="Обычный 4 2" xfId="21" xr:uid="{00000000-0005-0000-0000-000062000000}"/>
    <cellStyle name="Обычный 5" xfId="22" xr:uid="{00000000-0005-0000-0000-000063000000}"/>
    <cellStyle name="Обычный 5 2" xfId="23" xr:uid="{00000000-0005-0000-0000-000064000000}"/>
    <cellStyle name="Обычный 6" xfId="24" xr:uid="{00000000-0005-0000-0000-000065000000}"/>
    <cellStyle name="Обычный 6 2" xfId="25" xr:uid="{00000000-0005-0000-0000-000066000000}"/>
    <cellStyle name="Обычный 7" xfId="26" xr:uid="{00000000-0005-0000-0000-000067000000}"/>
    <cellStyle name="Обычный 7 2" xfId="27" xr:uid="{00000000-0005-0000-0000-000068000000}"/>
    <cellStyle name="Обычный 8" xfId="28" xr:uid="{00000000-0005-0000-0000-000069000000}"/>
    <cellStyle name="Обычный 8 2" xfId="29" xr:uid="{00000000-0005-0000-0000-00006A000000}"/>
    <cellStyle name="Обычный 9" xfId="30" xr:uid="{00000000-0005-0000-0000-00006B000000}"/>
    <cellStyle name="Обычный 9 2" xfId="31" xr:uid="{00000000-0005-0000-0000-00006C000000}"/>
    <cellStyle name="Плохой" xfId="97" xr:uid="{00000000-0005-0000-0000-00006D000000}"/>
    <cellStyle name="Пояснение" xfId="98" xr:uid="{00000000-0005-0000-0000-00006E000000}"/>
    <cellStyle name="Примечание" xfId="99" xr:uid="{00000000-0005-0000-0000-00006F000000}"/>
    <cellStyle name="Примечание 2" xfId="112" xr:uid="{00000000-0005-0000-0000-000070000000}"/>
    <cellStyle name="Процентный" xfId="1" builtinId="5"/>
    <cellStyle name="Процентный 2" xfId="48" xr:uid="{00000000-0005-0000-0000-000071000000}"/>
    <cellStyle name="Связанная ячейка" xfId="100" xr:uid="{00000000-0005-0000-0000-000072000000}"/>
    <cellStyle name="Текст предупреждения" xfId="101" xr:uid="{00000000-0005-0000-0000-000073000000}"/>
    <cellStyle name="Хороший" xfId="102" xr:uid="{00000000-0005-0000-0000-000074000000}"/>
  </cellStyles>
  <dxfs count="0"/>
  <tableStyles count="0" defaultTableStyle="TableStyleMedium2" defaultPivotStyle="PivotStyleMedium9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44;&#1086;&#1082;&#1091;&#1084;&#1077;&#1085;&#1090;&#1099;\&#1044;&#1086;&#1093;&#1086;&#1076;&#1099;2000\&#1064;&#1077;&#1089;&#1088;&#1091;&#1083;&#1077;&#1073;&#1072;\&#1044;&#1054;&#1061;&#1054;&#1044;&#1067;%2004-1999%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8-%202020%20&#4332;&#4314;&#4312;&#4321;%20&#4328;&#4308;&#4321;&#4327;&#4312;&#4307;&#4309;&#4308;&#4305;&#4312;&#4321;%20&#4306;&#4308;&#4306;&#4315;&#4304;%20-%2009.03.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2019%20&#4332;&#4308;&#4314;&#4312;/&#4306;&#4308;&#4306;&#4315;&#4304;%202019/1%20-%202019-%20&#4332;&#4314;&#4312;&#4321;%20&#4328;&#4308;&#4321;&#4327;&#4312;&#4307;&#4309;&#4308;&#4305;&#4312;&#4321;%20&#4306;&#4308;&#4306;&#4315;&#4304;%20-%2020.11.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2019%20&#4332;&#4308;&#4314;&#4312;/&#4306;&#4308;&#4306;&#4315;&#4304;%202019/22-%202019-%20&#4332;&#4314;&#4312;&#4321;%20&#4328;&#4308;&#4321;&#4327;&#4312;&#4307;&#4309;&#4308;&#4305;&#4312;&#4321;%20&#4306;&#4308;&#4306;&#4315;&#4304;%20-%2017.12.2019%20-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&#4306;&#4308;&#4306;&#4315;&#4304;%202019/22-%202019-%20&#4332;&#4314;&#4312;&#4321;%20&#4328;&#4308;&#4321;&#4327;&#4312;&#4307;&#4309;&#4308;&#4305;&#4312;&#4321;%20&#4306;&#4308;&#4306;&#4315;&#4304;%20-%2017.12.2019%20-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&#4306;&#4308;&#4306;&#4315;&#4304;%202019/19-%202019-%20&#4332;&#4314;&#4312;&#4321;%20&#4328;&#4308;&#4321;&#4327;&#4312;&#4307;&#4309;&#4308;&#4305;&#4312;&#4321;%20&#4306;&#4308;&#4306;&#4315;&#4304;%20-%2023.10.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&#4306;&#4308;&#4306;&#4315;&#4304;%202019/20-%202019-%20&#4332;&#4314;&#4312;&#4321;%20&#4328;&#4308;&#4321;&#4327;&#4312;&#4307;&#4309;&#4308;&#4305;&#4312;&#4321;%20&#4306;&#4308;&#4306;&#4315;&#4304;%20-%2003.12.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7-%202020%20&#4332;&#4314;&#4312;&#4321;%20&#4328;&#4308;&#4321;&#4327;&#4312;&#4307;&#4309;&#4308;&#4305;&#4312;&#4321;%20&#4306;&#4308;&#4306;&#4315;&#4304;%20-%2021.02.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ngiz%20Abuseridze/Desktop/&#4328;&#4308;&#4321;&#4327;&#4312;&#4307;&#4309;&#4308;&#4305;&#4312;&#4321;%20&#4306;&#4308;&#4306;&#4315;&#4304;%202020/8-%202020%20&#4332;&#4314;&#4312;&#4321;%20&#4328;&#4308;&#4321;&#4327;&#4312;&#4307;&#4309;&#4308;&#4305;&#4312;&#4321;%20&#4306;&#4308;&#4306;&#4315;&#4304;%20-%2009.03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s\my%20doc\Biudjeti%20Gegma\2012%20gegma\Version%202\My%20Documents\Biudjeti%20Gegma\Normatiuli%20Aqti\Adjara%202005\cvlileba\roi%20dok\2002%20&#1041;&#1048;&#1059;&#1044;&#1046;&#1045;&#1058;&#1048;\&#1064;&#1077;&#1089;&#1088;&#1091;&#1083;&#1077;&#1073;&#1072;\12\1999%20&#1041;&#1048;&#1059;&#1044;&#1046;&#1045;&#1058;&#1048;\99%20%20&#1084;&#1080;&#1085;%20&#1089;&#1072;&#1073;,%20&#1088;&#1077;&#1079;&#1077;&#1088;&#1074;&#108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s\my%20doc\Biudjeti%20Gegma\2012%20gegma\Version%202\My%20Documents\Biudjeti%20Gegma\Normatiuli%20Aqti\Adjara%202005\cvlileba\roi%20dok\2002%20&#1041;&#1048;&#1059;&#1044;&#1046;&#1045;&#1058;&#1048;\&#1064;&#1077;&#1089;&#1088;&#1091;&#1083;&#1077;&#1073;&#1072;\12\2002-12%20&#1090;&#1074;&#1080;&#1089;%20&#1096;&#1077;&#1084;&#1086;&#1089;-&#1093;&#1072;&#1088;&#1076;&#1078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s\my%20doc\Biudjeti%20Gegma\2012%20gegma\Version%202\My%20Documents\Biudjeti%20Gegma\Normatiuli%20Aqti\Adjara%202005\cvlileba\roi%20dok\2003%20&#1041;&#1048;&#1059;&#1044;&#1046;&#1045;&#1058;&#1048;\&#1064;&#1077;&#1089;&#1088;&#1091;&#1083;&#1077;&#1073;&#1072;\12\shesruleba2003-I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6-%202020%20&#4332;&#4314;&#4312;&#4321;%20&#4328;&#4308;&#4321;&#4327;&#4312;&#4307;&#4309;&#4308;&#4305;&#4312;&#4321;%20&#4306;&#4308;&#4306;&#4315;&#4304;%20-%2005.02.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AppData/Roaming/Microsoft/Excel/6-%202020%20&#4332;&#4314;&#4312;&#4321;%20&#4328;&#4308;&#4321;&#4327;&#4312;&#4307;&#4309;&#4308;&#4305;&#4312;&#4321;%20&#4306;&#4308;&#4306;&#4315;&#4304;%20-%2023.01%20(version%201)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&#4328;&#4308;&#4321;&#4327;&#4312;&#4307;&#4309;&#4308;&#4305;&#4312;&#4321;%20&#4306;&#4308;&#4306;&#4315;&#4304;%202020/12%20-%202020%20&#4332;&#4314;&#4312;&#4321;%20&#4328;&#4308;&#4321;&#4327;&#4312;&#4307;&#4309;&#4308;&#4305;&#4312;&#4321;%20&#4306;&#4308;&#4306;&#4315;&#4304;%20-%207.04.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2019%20&#4332;&#4308;&#4314;&#4312;/&#4306;&#4308;&#4306;&#4315;&#4304;%202019/21-%202019-%20&#4332;&#4314;&#4312;&#4321;%20&#4328;&#4308;&#4321;&#4327;&#4312;&#4307;&#4309;&#4308;&#4305;&#4312;&#4321;%20&#4306;&#4308;&#4306;&#4315;&#4304;%20-%2011.12.2019%20-%20Cop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4322;&#4308;&#4316;&#4307;&#4308;&#4320;&#4308;&#4305;&#4312;-2019\&#4306;&#4308;&#4306;&#4315;&#4304;%202019\19-%202019-%20&#4332;&#4314;&#4312;&#4321;%20&#4328;&#4308;&#4321;&#4327;&#4312;&#4307;&#4309;&#4308;&#4305;&#4312;&#4321;%20&#4306;&#4308;&#4306;&#4315;&#4304;%20-%2023.1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ЗЕМЛЮ"/>
      <sheetName val="ИМУЩЕСТВО"/>
      <sheetName val="НА ПЕРЕДАЧУ ИМУЩЕСТВА"/>
      <sheetName val="ЭКОЛОГИЯ"/>
      <sheetName val="ПРИРОД, РЕСУРСИ"/>
      <sheetName val="МЕСТНЫЕ"/>
      <sheetName val="другие НЕНАЛОГОВЫЕ"/>
      <sheetName val="ПОДОХОДНЫЙ"/>
      <sheetName val="ПРИБЫЛЬ"/>
      <sheetName val="НДС"/>
      <sheetName val="НЕНАЛОГОВЫЕ"/>
      <sheetName val="ПРИВАТИЗАЦИЯ"/>
      <sheetName val="таможенний НДС"/>
      <sheetName val="таможенная пошлина"/>
      <sheetName val="таможенний акциз"/>
      <sheetName val="АКЦИЗ"/>
      <sheetName val="База2"/>
      <sheetName val="71"/>
      <sheetName val="54"/>
      <sheetName val="БАЗА"/>
      <sheetName val="районы"/>
      <sheetName val="АпрельСт"/>
      <sheetName val="АпрельСтБФ"/>
      <sheetName val="I кварталСт"/>
      <sheetName val="4твеСт"/>
      <sheetName val="АпрельДз"/>
      <sheetName val="АпрельДзБФ"/>
      <sheetName val="АпрельДзБФ (-186,5)"/>
      <sheetName val="I кварталДз"/>
      <sheetName val="4твеДз"/>
      <sheetName val="аджария"/>
      <sheetName val="сахееби"/>
      <sheetName val="ганацилеба"/>
      <sheetName val="ганацилеба 4тв"/>
      <sheetName val="Модуль2"/>
      <sheetName val="Модуль3"/>
      <sheetName val="Модуль4"/>
      <sheetName val="Модуль5"/>
      <sheetName val="Модуль7"/>
      <sheetName val="Модуль9"/>
      <sheetName val="Модуль1"/>
      <sheetName val="Модуль6"/>
      <sheetName val="Модуль8"/>
      <sheetName val="Модуль10"/>
      <sheetName val="Модуль11"/>
      <sheetName val="01-04Дз"/>
      <sheetName val="01-04Дз$"/>
      <sheetName val="01-04Дз3%"/>
      <sheetName val="05Дз"/>
      <sheetName val="05Дз$"/>
      <sheetName val="05Дз3%"/>
      <sheetName val="01,11"/>
      <sheetName val="02,12"/>
      <sheetName val="03,04,13"/>
      <sheetName val="05-09,14"/>
      <sheetName val="15"/>
      <sheetName val="16-22"/>
      <sheetName val="25"/>
      <sheetName val="25 (0)"/>
      <sheetName val="30"/>
      <sheetName val="31"/>
      <sheetName val="32"/>
      <sheetName val="04 (114)"/>
      <sheetName val="33"/>
      <sheetName val="34-35"/>
      <sheetName val="36"/>
      <sheetName val="95"/>
      <sheetName val="ШемСах"/>
      <sheetName val="form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H2">
            <v>209669.90778857144</v>
          </cell>
        </row>
        <row r="3">
          <cell r="D3" t="str">
            <v>rjlb</v>
          </cell>
        </row>
        <row r="4">
          <cell r="X4">
            <v>796554.31285714277</v>
          </cell>
          <cell r="Y4">
            <v>557588.01899999997</v>
          </cell>
          <cell r="Z4">
            <v>209669.90778857144</v>
          </cell>
          <cell r="AA4">
            <v>29296.386068571432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 refreshError="1"/>
      <sheetData sheetId="1" refreshError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</row>
        <row r="69">
          <cell r="A69" t="str">
            <v>06 01</v>
          </cell>
          <cell r="B69" t="str">
            <v>ჯანმრთელობის დაცვა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</row>
        <row r="89">
          <cell r="A89" t="str">
            <v>07 01</v>
          </cell>
          <cell r="B89" t="str">
            <v>ქალაქის დაგეგმარება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</row>
        <row r="100"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8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A14" t="str">
            <v>01 02 09</v>
          </cell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თვითმმართველობის განხორციელებაში მოქალაქეთა მონაწილეობის გაძლიერება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  <cell r="C19">
            <v>0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  <cell r="C20">
            <v>0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A39" t="str">
            <v>07 01 03</v>
          </cell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  <cell r="C40">
            <v>0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  <cell r="C41">
            <v>0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  <cell r="C43">
            <v>0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  <cell r="C47">
            <v>0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  <cell r="C49">
            <v>0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  <cell r="C50">
            <v>0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  <cell r="C53">
            <v>0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  <cell r="C55">
            <v>0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  <cell r="C58">
            <v>0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  <cell r="C60">
            <v>0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  <cell r="C64">
            <v>0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  <cell r="C68">
            <v>0</v>
          </cell>
        </row>
        <row r="69">
          <cell r="A69" t="str">
            <v>06 01</v>
          </cell>
          <cell r="B69" t="str">
            <v>ჯანმრთელობის დაცვა</v>
          </cell>
          <cell r="C69">
            <v>0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77">
            <v>0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  <cell r="C79">
            <v>0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  <cell r="C84">
            <v>0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  <cell r="C88">
            <v>0</v>
          </cell>
        </row>
        <row r="89">
          <cell r="A89" t="str">
            <v>07 01</v>
          </cell>
          <cell r="B89" t="str">
            <v>ქალაქის დაგეგმარება</v>
          </cell>
          <cell r="C89">
            <v>0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  <cell r="C93">
            <v>0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A95" t="str">
            <v>07 02 02</v>
          </cell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A96" t="str">
            <v>07 02 03</v>
          </cell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A97" t="str">
            <v>07 02 04</v>
          </cell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>07 02 05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  <cell r="C99">
            <v>0</v>
          </cell>
        </row>
        <row r="100">
          <cell r="A100" t="str">
            <v>07 03 01</v>
          </cell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07 04 02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A14">
            <v>0</v>
          </cell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  <cell r="C19">
            <v>0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  <cell r="C20">
            <v>0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A39">
            <v>0</v>
          </cell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  <cell r="C40">
            <v>0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  <cell r="C41">
            <v>0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  <cell r="C43">
            <v>0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  <cell r="C47">
            <v>0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  <cell r="C49">
            <v>0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  <cell r="C50">
            <v>0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  <cell r="C53">
            <v>0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  <cell r="C55">
            <v>0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  <cell r="C58">
            <v>0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  <cell r="C60">
            <v>0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  <cell r="C64">
            <v>0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  <cell r="C68">
            <v>0</v>
          </cell>
        </row>
        <row r="69">
          <cell r="A69" t="str">
            <v>06 01</v>
          </cell>
          <cell r="B69" t="str">
            <v>ჯანმრთელობის დაცვა</v>
          </cell>
          <cell r="C69">
            <v>0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77">
            <v>0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  <cell r="C79">
            <v>0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  <cell r="C84">
            <v>0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  <cell r="C88">
            <v>0</v>
          </cell>
        </row>
        <row r="89">
          <cell r="A89" t="str">
            <v>07 01</v>
          </cell>
          <cell r="B89" t="str">
            <v>ქალაქის დაგეგმარება</v>
          </cell>
          <cell r="C89">
            <v>0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  <cell r="C93">
            <v>0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A95">
            <v>0</v>
          </cell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A96">
            <v>0</v>
          </cell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A97">
            <v>0</v>
          </cell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  <cell r="C99">
            <v>0</v>
          </cell>
        </row>
        <row r="100">
          <cell r="A100">
            <v>0</v>
          </cell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 refreshError="1"/>
      <sheetData sheetId="1" refreshError="1"/>
      <sheetData sheetId="2" refreshError="1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</row>
        <row r="69">
          <cell r="A69" t="str">
            <v>06 01</v>
          </cell>
          <cell r="B69" t="str">
            <v>ჯანმრთელობის დაცვა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</row>
        <row r="89">
          <cell r="A89" t="str">
            <v>07 01</v>
          </cell>
          <cell r="B89" t="str">
            <v>ქალაქის დაგეგმარება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</row>
        <row r="100"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A14">
            <v>0</v>
          </cell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  <cell r="C19">
            <v>0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  <cell r="C20">
            <v>0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A39">
            <v>0</v>
          </cell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  <cell r="C40">
            <v>0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  <cell r="C41">
            <v>0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  <cell r="C43">
            <v>0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  <cell r="C47">
            <v>0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  <cell r="C49">
            <v>0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  <cell r="C50">
            <v>0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  <cell r="C53">
            <v>0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  <cell r="C55">
            <v>0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  <cell r="C58">
            <v>0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  <cell r="C60">
            <v>0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  <cell r="C64">
            <v>0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  <cell r="C68">
            <v>0</v>
          </cell>
        </row>
        <row r="69">
          <cell r="A69" t="str">
            <v>06 01</v>
          </cell>
          <cell r="B69" t="str">
            <v>ჯანმრთელობის დაცვა</v>
          </cell>
          <cell r="C69">
            <v>0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77">
            <v>0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  <cell r="C79">
            <v>0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  <cell r="C84">
            <v>0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  <cell r="C88">
            <v>0</v>
          </cell>
        </row>
        <row r="89">
          <cell r="A89" t="str">
            <v>07 01</v>
          </cell>
          <cell r="B89" t="str">
            <v>ქალაქის დაგეგმარება</v>
          </cell>
          <cell r="C89">
            <v>0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  <cell r="C93">
            <v>0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A95">
            <v>0</v>
          </cell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A96">
            <v>0</v>
          </cell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A97">
            <v>0</v>
          </cell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  <cell r="C99">
            <v>0</v>
          </cell>
        </row>
        <row r="100">
          <cell r="A100">
            <v>0</v>
          </cell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A14">
            <v>0</v>
          </cell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  <cell r="C19">
            <v>0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  <cell r="C20">
            <v>0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A39">
            <v>0</v>
          </cell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  <cell r="C40">
            <v>0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  <cell r="C41">
            <v>0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  <cell r="C43">
            <v>0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  <cell r="C47">
            <v>0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  <cell r="C49">
            <v>0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  <cell r="C50">
            <v>0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  <cell r="C53">
            <v>0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  <cell r="C55">
            <v>0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  <cell r="C58">
            <v>0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  <cell r="C60">
            <v>0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  <cell r="C64">
            <v>0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  <cell r="C68">
            <v>0</v>
          </cell>
        </row>
        <row r="69">
          <cell r="A69" t="str">
            <v>06 01</v>
          </cell>
          <cell r="B69" t="str">
            <v>ჯანმრთელობის დაცვა</v>
          </cell>
          <cell r="C69">
            <v>0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77">
            <v>0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  <cell r="C79">
            <v>0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  <cell r="C84">
            <v>0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  <cell r="C88">
            <v>0</v>
          </cell>
        </row>
        <row r="89">
          <cell r="A89" t="str">
            <v>07 01</v>
          </cell>
          <cell r="B89" t="str">
            <v>ქალაქის დაგეგმარება</v>
          </cell>
          <cell r="C89">
            <v>0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  <cell r="C93">
            <v>0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A95">
            <v>0</v>
          </cell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A96">
            <v>0</v>
          </cell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A97">
            <v>0</v>
          </cell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  <cell r="C99">
            <v>0</v>
          </cell>
        </row>
        <row r="100">
          <cell r="A100">
            <v>0</v>
          </cell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</row>
        <row r="14">
          <cell r="B14" t="str">
            <v>ქალაქ ბათუმის მუნიციპალიტეტის მერია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</row>
        <row r="39">
          <cell r="B39" t="str">
            <v>საკომპენსაციო თანხებით მოქალაქეთა უზრუნველყოფა</v>
          </cell>
        </row>
        <row r="40">
          <cell r="A40" t="str">
            <v>04 00</v>
          </cell>
          <cell r="B40" t="str">
            <v>განათლება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</row>
        <row r="59">
          <cell r="A59" t="str">
            <v>05 04 04</v>
          </cell>
          <cell r="B59" t="str">
            <v>ხელოვანთა ხელშეწყობა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</row>
        <row r="65">
          <cell r="A65" t="str">
            <v>05 06 01</v>
          </cell>
          <cell r="B65" t="str">
            <v>ახალგაზრდული ცენტრი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</row>
        <row r="69">
          <cell r="A69" t="str">
            <v>06 01</v>
          </cell>
          <cell r="B69" t="str">
            <v>ჯანმრთელობის დაცვა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</row>
        <row r="89">
          <cell r="A89" t="str">
            <v>07 01</v>
          </cell>
          <cell r="B89" t="str">
            <v>ქალაქის დაგეგმარება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</row>
        <row r="95">
          <cell r="B95" t="str">
            <v>მეწარმეობისა და ინოვაციების განვითარების სტიმულირება</v>
          </cell>
        </row>
        <row r="96">
          <cell r="B96" t="str">
            <v>საერთაშორისო ბიზნეს ცენტრის შექმნის ხელშეწყობა</v>
          </cell>
        </row>
        <row r="97">
          <cell r="B97" t="str">
            <v>ეკონომიკური ფორუმების ორგანიზება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</row>
        <row r="100"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н резерви 5 тве "/>
      <sheetName val="чарби 5 тве"/>
      <sheetName val="мин резерви 6"/>
      <sheetName val="чарби 6"/>
      <sheetName val="чарби 7"/>
      <sheetName val="мин резерви  7"/>
      <sheetName val="чарби 8"/>
      <sheetName val="мин резерви 8 "/>
      <sheetName val="мосалоднели чарби "/>
      <sheetName val="мин резерви"/>
      <sheetName val="чарби"/>
      <sheetName val="Лист1"/>
      <sheetName val="чамонатвали"/>
      <sheetName val="реестри"/>
      <sheetName val="реестри (2)"/>
      <sheetName val="Г С"/>
      <sheetName val="гардамав"/>
      <sheetName val="Лист3"/>
      <sheetName val="капита "/>
      <sheetName val="Лист2"/>
      <sheetName val="економиа"/>
      <sheetName val="узен  резерв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2">
          <cell r="F62">
            <v>5323866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(2)"/>
      <sheetName val="гегма"/>
      <sheetName val="ФОРМА"/>
      <sheetName val="N1"/>
      <sheetName val="N1-1"/>
      <sheetName val="N1-2"/>
      <sheetName val="N1-4"/>
      <sheetName val="N1-3"/>
      <sheetName val="N1-5"/>
      <sheetName val="N2"/>
      <sheetName val="N2-1"/>
      <sheetName val="N2-2"/>
      <sheetName val="N2-3"/>
      <sheetName val="N 3"/>
      <sheetName val="N3-1"/>
      <sheetName val="N3-2"/>
      <sheetName val="N3-3"/>
      <sheetName val="N3-5"/>
      <sheetName val="N3-4"/>
      <sheetName val="N3-6"/>
      <sheetName val="N3-7"/>
      <sheetName val="N3-8"/>
      <sheetName val="N3-9"/>
      <sheetName val="дацмух назард"/>
      <sheetName val="дацмух"/>
      <sheetName val="sul"/>
      <sheetName val="2001-200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mber"/>
      <sheetName val="november"/>
      <sheetName val="december"/>
      <sheetName val="total 1"/>
      <sheetName val="ФОРМА"/>
      <sheetName val="ФОРМА (3)"/>
      <sheetName val="ФОРМА (2)"/>
      <sheetName val="ФОРМА (4)"/>
      <sheetName val="гег факти дарг"/>
      <sheetName val="total 1 (2)"/>
      <sheetName val="total 1 (3)"/>
      <sheetName val="total 1 (4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 refreshError="1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</row>
        <row r="69">
          <cell r="A69" t="str">
            <v>06 01</v>
          </cell>
          <cell r="B69" t="str">
            <v>ჯანმრთელობის დაცვა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</row>
        <row r="89">
          <cell r="A89" t="str">
            <v>07 01</v>
          </cell>
          <cell r="B89" t="str">
            <v>ქალაქის დაგეგმარება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</row>
        <row r="100"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</row>
        <row r="69">
          <cell r="A69" t="str">
            <v>06 01</v>
          </cell>
          <cell r="B69" t="str">
            <v>ჯანმრთელობის დაცვა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</row>
        <row r="89">
          <cell r="A89" t="str">
            <v>07 01</v>
          </cell>
          <cell r="B89" t="str">
            <v>ქალაქის დაგეგმარება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</row>
        <row r="100"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A14">
            <v>0</v>
          </cell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  <cell r="C19">
            <v>0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  <cell r="C20">
            <v>0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A39">
            <v>0</v>
          </cell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  <cell r="C40">
            <v>0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  <cell r="C41">
            <v>0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  <cell r="C43">
            <v>0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  <cell r="C47">
            <v>0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  <cell r="C49">
            <v>0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  <cell r="C50">
            <v>0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  <cell r="C53">
            <v>0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  <cell r="C55">
            <v>0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  <cell r="C58">
            <v>0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  <cell r="C60">
            <v>0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  <cell r="C64">
            <v>0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  <cell r="C68">
            <v>0</v>
          </cell>
        </row>
        <row r="69">
          <cell r="A69" t="str">
            <v>06 01</v>
          </cell>
          <cell r="B69" t="str">
            <v>ჯანმრთელობის დაცვა</v>
          </cell>
          <cell r="C69">
            <v>0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77">
            <v>0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  <cell r="C79">
            <v>0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  <cell r="C84">
            <v>0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  <cell r="C88">
            <v>0</v>
          </cell>
        </row>
        <row r="89">
          <cell r="A89" t="str">
            <v>07 01</v>
          </cell>
          <cell r="B89" t="str">
            <v>ქალაქის დაგეგმარება</v>
          </cell>
          <cell r="C89">
            <v>0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  <cell r="C93">
            <v>0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A95">
            <v>0</v>
          </cell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A96">
            <v>0</v>
          </cell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A97">
            <v>0</v>
          </cell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  <cell r="C99">
            <v>0</v>
          </cell>
        </row>
        <row r="100">
          <cell r="A100">
            <v>0</v>
          </cell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A14">
            <v>0</v>
          </cell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  <cell r="C19">
            <v>0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  <cell r="C20">
            <v>0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A39">
            <v>0</v>
          </cell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  <cell r="C40">
            <v>0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  <cell r="C41">
            <v>0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  <cell r="C43">
            <v>0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  <cell r="C47">
            <v>0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  <cell r="C49">
            <v>0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  <cell r="C50">
            <v>0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  <cell r="C53">
            <v>0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  <cell r="C55">
            <v>0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  <cell r="C58">
            <v>0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  <cell r="C60">
            <v>0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  <cell r="C64">
            <v>0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  <cell r="C68">
            <v>0</v>
          </cell>
        </row>
        <row r="69">
          <cell r="A69" t="str">
            <v>06 01</v>
          </cell>
          <cell r="B69" t="str">
            <v>ჯანმრთელობის დაცვა</v>
          </cell>
          <cell r="C69">
            <v>0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77">
            <v>0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  <cell r="C79">
            <v>0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  <cell r="C84">
            <v>0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  <cell r="C88">
            <v>0</v>
          </cell>
        </row>
        <row r="89">
          <cell r="A89" t="str">
            <v>07 01</v>
          </cell>
          <cell r="B89" t="str">
            <v>ქალაქის დაგეგმარება</v>
          </cell>
          <cell r="C89">
            <v>0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  <cell r="C93">
            <v>0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A95">
            <v>0</v>
          </cell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A96">
            <v>0</v>
          </cell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A97">
            <v>0</v>
          </cell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  <cell r="C99">
            <v>0</v>
          </cell>
        </row>
        <row r="100">
          <cell r="A100">
            <v>0</v>
          </cell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A14">
            <v>0</v>
          </cell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  <cell r="C19">
            <v>0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  <cell r="C20">
            <v>0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A39">
            <v>0</v>
          </cell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  <cell r="C40">
            <v>0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  <cell r="C41">
            <v>0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  <cell r="C43">
            <v>0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  <cell r="C47">
            <v>0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  <cell r="C49">
            <v>0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  <cell r="C50">
            <v>0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  <cell r="C53">
            <v>0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  <cell r="C55">
            <v>0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  <cell r="C58">
            <v>0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  <cell r="C60">
            <v>0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  <cell r="C64">
            <v>0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  <cell r="C68">
            <v>0</v>
          </cell>
        </row>
        <row r="69">
          <cell r="A69" t="str">
            <v>06 01</v>
          </cell>
          <cell r="B69" t="str">
            <v>ჯანმრთელობის დაცვა</v>
          </cell>
          <cell r="C69">
            <v>0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77">
            <v>0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  <cell r="C79">
            <v>0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  <cell r="C84">
            <v>0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  <cell r="C88">
            <v>0</v>
          </cell>
        </row>
        <row r="89">
          <cell r="A89" t="str">
            <v>07 01</v>
          </cell>
          <cell r="B89" t="str">
            <v>ქალაქის დაგეგმარება</v>
          </cell>
          <cell r="C89">
            <v>0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  <cell r="C93">
            <v>0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A95">
            <v>0</v>
          </cell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A96">
            <v>0</v>
          </cell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A97">
            <v>0</v>
          </cell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  <cell r="C99">
            <v>0</v>
          </cell>
        </row>
        <row r="100">
          <cell r="A100">
            <v>0</v>
          </cell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3"/>
  <sheetViews>
    <sheetView showZeros="0" tabSelected="1" view="pageBreakPreview" zoomScale="90" zoomScaleNormal="100" zoomScaleSheetLayoutView="90" workbookViewId="0">
      <selection activeCell="A4" sqref="A4:D4"/>
    </sheetView>
  </sheetViews>
  <sheetFormatPr defaultColWidth="9.109375" defaultRowHeight="13.8"/>
  <cols>
    <col min="1" max="1" width="4.44140625" style="1" customWidth="1"/>
    <col min="2" max="2" width="9.5546875" style="1" customWidth="1"/>
    <col min="3" max="3" width="34.5546875" style="2" customWidth="1"/>
    <col min="4" max="4" width="42.44140625" style="2" customWidth="1"/>
    <col min="5" max="5" width="13.5546875" style="1" customWidth="1"/>
    <col min="6" max="6" width="15.6640625" style="12" customWidth="1"/>
    <col min="7" max="7" width="21.5546875" style="1" customWidth="1"/>
    <col min="8" max="8" width="15.5546875" style="2" customWidth="1"/>
    <col min="9" max="9" width="18.88671875" style="2" hidden="1" customWidth="1"/>
    <col min="10" max="10" width="7.88671875" style="2" hidden="1" customWidth="1"/>
    <col min="11" max="11" width="12.5546875" style="2" hidden="1" customWidth="1"/>
    <col min="12" max="12" width="8.88671875" style="76" hidden="1" customWidth="1"/>
    <col min="13" max="13" width="15.88671875" style="2" hidden="1" customWidth="1"/>
    <col min="14" max="14" width="14.109375" style="2" hidden="1" customWidth="1"/>
    <col min="15" max="15" width="17.6640625" style="2" hidden="1" customWidth="1"/>
    <col min="16" max="16" width="9.88671875" style="2" hidden="1" customWidth="1"/>
    <col min="17" max="17" width="41.33203125" style="14" hidden="1" customWidth="1"/>
    <col min="18" max="18" width="17.109375" style="2" hidden="1" customWidth="1"/>
    <col min="19" max="19" width="11.33203125" style="107" hidden="1" customWidth="1"/>
    <col min="20" max="20" width="15.5546875" style="108" hidden="1" customWidth="1"/>
    <col min="21" max="22" width="16.6640625" style="104" hidden="1" customWidth="1"/>
    <col min="23" max="23" width="15.5546875" style="108" hidden="1" customWidth="1"/>
    <col min="24" max="24" width="50.88671875" style="165" hidden="1" customWidth="1"/>
    <col min="25" max="25" width="13.88671875" style="75" hidden="1" customWidth="1"/>
    <col min="26" max="26" width="18.5546875" style="22" hidden="1" customWidth="1"/>
    <col min="27" max="27" width="13.44140625" style="22" customWidth="1"/>
    <col min="28" max="28" width="14.44140625" style="22" customWidth="1"/>
    <col min="29" max="16384" width="9.109375" style="22"/>
  </cols>
  <sheetData>
    <row r="1" spans="1:26" ht="15.6" customHeight="1">
      <c r="A1" s="3"/>
      <c r="B1" s="3"/>
      <c r="C1" s="4"/>
      <c r="D1" s="4"/>
      <c r="E1" s="3"/>
      <c r="F1" s="23"/>
      <c r="G1" s="227"/>
      <c r="H1" s="227" t="s">
        <v>184</v>
      </c>
      <c r="I1" s="126">
        <f>12789353/1000</f>
        <v>12789.352999999999</v>
      </c>
      <c r="J1" s="99" t="s">
        <v>105</v>
      </c>
      <c r="K1" s="5"/>
      <c r="L1" s="73"/>
      <c r="M1" s="74"/>
      <c r="N1" s="5"/>
      <c r="O1" s="9"/>
      <c r="P1" s="6"/>
      <c r="Q1" s="12"/>
      <c r="R1" s="6"/>
    </row>
    <row r="2" spans="1:26" ht="27" customHeight="1">
      <c r="A2" s="251" t="s">
        <v>726</v>
      </c>
      <c r="B2" s="251"/>
      <c r="C2" s="251"/>
      <c r="D2" s="251"/>
      <c r="E2" s="251"/>
      <c r="F2" s="251"/>
      <c r="G2" s="251"/>
      <c r="H2" s="251"/>
      <c r="I2" s="98" t="e">
        <f>#REF!-I1</f>
        <v>#REF!</v>
      </c>
      <c r="J2" s="100" t="s">
        <v>99</v>
      </c>
      <c r="K2" s="61"/>
      <c r="L2" s="11"/>
      <c r="M2" s="72"/>
      <c r="N2" s="72"/>
      <c r="O2" s="10"/>
      <c r="P2" s="7"/>
      <c r="Q2" s="13"/>
      <c r="R2" s="8"/>
    </row>
    <row r="3" spans="1:26" ht="37.5" customHeight="1">
      <c r="A3" s="254" t="s">
        <v>725</v>
      </c>
      <c r="B3" s="255"/>
      <c r="C3" s="255"/>
      <c r="D3" s="255"/>
      <c r="E3" s="257" t="s">
        <v>236</v>
      </c>
      <c r="F3" s="257"/>
      <c r="G3" s="257"/>
      <c r="H3" s="257"/>
      <c r="I3" s="127"/>
      <c r="J3" s="57"/>
      <c r="K3" s="245"/>
      <c r="L3" s="245"/>
      <c r="M3" s="29"/>
      <c r="N3" s="29"/>
      <c r="O3" s="27"/>
      <c r="P3" s="29"/>
      <c r="Q3" s="31"/>
      <c r="R3" s="29"/>
      <c r="S3" s="109"/>
      <c r="T3" s="110"/>
      <c r="U3" s="105"/>
      <c r="V3" s="105"/>
      <c r="W3" s="110"/>
      <c r="Y3" s="62"/>
      <c r="Z3" s="29"/>
    </row>
    <row r="4" spans="1:26" ht="50.1" customHeight="1">
      <c r="A4" s="255" t="s">
        <v>237</v>
      </c>
      <c r="B4" s="255"/>
      <c r="C4" s="255"/>
      <c r="D4" s="255"/>
      <c r="E4" s="252" t="s">
        <v>238</v>
      </c>
      <c r="F4" s="252"/>
      <c r="G4" s="252"/>
      <c r="H4" s="252"/>
      <c r="I4" s="58"/>
      <c r="J4" s="57"/>
      <c r="K4" s="245"/>
      <c r="L4" s="245"/>
      <c r="M4" s="32"/>
      <c r="N4" s="33"/>
      <c r="O4" s="29"/>
      <c r="P4" s="29"/>
      <c r="Q4" s="31"/>
      <c r="R4" s="29"/>
      <c r="S4" s="109"/>
      <c r="T4" s="110"/>
      <c r="U4" s="105"/>
      <c r="V4" s="105"/>
      <c r="W4" s="110"/>
      <c r="Y4" s="62"/>
      <c r="Z4" s="29"/>
    </row>
    <row r="5" spans="1:26" ht="35.1" customHeight="1">
      <c r="A5" s="254" t="s">
        <v>395</v>
      </c>
      <c r="B5" s="254"/>
      <c r="C5" s="254"/>
      <c r="D5" s="254"/>
      <c r="E5" s="258">
        <f>SUM(E8:E217)</f>
        <v>13963550.43</v>
      </c>
      <c r="F5" s="258"/>
      <c r="G5" s="259" t="s">
        <v>38</v>
      </c>
      <c r="H5" s="260">
        <f>SUBTOTAL(9,E9:E216)</f>
        <v>13956878.43</v>
      </c>
      <c r="I5" s="59"/>
      <c r="J5" s="30"/>
      <c r="K5" s="34"/>
      <c r="L5" s="35"/>
      <c r="M5" s="34"/>
      <c r="N5" s="30"/>
      <c r="O5" s="24"/>
      <c r="P5" s="25"/>
      <c r="Q5" s="26"/>
      <c r="R5" s="25"/>
      <c r="S5" s="109"/>
      <c r="T5" s="110"/>
      <c r="U5" s="105"/>
      <c r="V5" s="105"/>
      <c r="W5" s="110"/>
      <c r="Y5" s="62"/>
      <c r="Z5" s="29"/>
    </row>
    <row r="6" spans="1:26" ht="36">
      <c r="A6" s="60" t="s">
        <v>39</v>
      </c>
      <c r="B6" s="60" t="s">
        <v>40</v>
      </c>
      <c r="C6" s="253" t="s">
        <v>43</v>
      </c>
      <c r="D6" s="253"/>
      <c r="E6" s="60" t="s">
        <v>1</v>
      </c>
      <c r="F6" s="60" t="s">
        <v>2</v>
      </c>
      <c r="G6" s="60" t="s">
        <v>41</v>
      </c>
      <c r="H6" s="60" t="s">
        <v>0</v>
      </c>
      <c r="I6" s="36" t="s">
        <v>33</v>
      </c>
      <c r="J6" s="36" t="s">
        <v>95</v>
      </c>
      <c r="K6" s="36" t="s">
        <v>59</v>
      </c>
      <c r="L6" s="37" t="s">
        <v>60</v>
      </c>
      <c r="M6" s="36" t="s">
        <v>67</v>
      </c>
      <c r="N6" s="36"/>
      <c r="O6" s="36" t="s">
        <v>56</v>
      </c>
      <c r="P6" s="38" t="s">
        <v>34</v>
      </c>
      <c r="Q6" s="38" t="s">
        <v>65</v>
      </c>
      <c r="R6" s="39" t="s">
        <v>23</v>
      </c>
      <c r="S6" s="240" t="s">
        <v>44</v>
      </c>
      <c r="T6" s="241"/>
      <c r="U6" s="241"/>
      <c r="V6" s="241"/>
      <c r="W6" s="241"/>
      <c r="X6" s="242"/>
      <c r="Y6" s="63"/>
      <c r="Z6" s="29"/>
    </row>
    <row r="7" spans="1:26" ht="15" customHeight="1">
      <c r="A7" s="235">
        <v>1</v>
      </c>
      <c r="B7" s="235">
        <v>2</v>
      </c>
      <c r="C7" s="229">
        <v>3</v>
      </c>
      <c r="D7" s="229"/>
      <c r="E7" s="235">
        <v>4</v>
      </c>
      <c r="F7" s="235">
        <v>5</v>
      </c>
      <c r="G7" s="235">
        <v>6</v>
      </c>
      <c r="H7" s="235">
        <v>7</v>
      </c>
      <c r="I7" s="36"/>
      <c r="J7" s="36"/>
      <c r="K7" s="40"/>
      <c r="L7" s="41"/>
      <c r="M7" s="40"/>
      <c r="N7" s="36"/>
      <c r="O7" s="36"/>
      <c r="P7" s="38"/>
      <c r="Q7" s="42"/>
      <c r="R7" s="39"/>
      <c r="S7" s="43" t="s">
        <v>39</v>
      </c>
      <c r="T7" s="111" t="s">
        <v>66</v>
      </c>
      <c r="U7" s="106" t="s">
        <v>326</v>
      </c>
      <c r="V7" s="106" t="s">
        <v>447</v>
      </c>
      <c r="W7" s="163" t="s">
        <v>563</v>
      </c>
      <c r="X7" s="166" t="s">
        <v>45</v>
      </c>
      <c r="Y7" s="64"/>
      <c r="Z7" s="29"/>
    </row>
    <row r="8" spans="1:26" ht="27" customHeight="1">
      <c r="A8" s="244">
        <v>1</v>
      </c>
      <c r="B8" s="256" t="s">
        <v>426</v>
      </c>
      <c r="C8" s="246" t="s">
        <v>427</v>
      </c>
      <c r="D8" s="226" t="s">
        <v>159</v>
      </c>
      <c r="E8" s="125">
        <v>2000</v>
      </c>
      <c r="F8" s="91" t="s">
        <v>30</v>
      </c>
      <c r="G8" s="93" t="s">
        <v>397</v>
      </c>
      <c r="H8" s="92" t="str">
        <f>M8</f>
        <v>მე-10(1) მუხლ. მე-3 პუნქ. ”ვ” ქვეპ.</v>
      </c>
      <c r="I8" s="48" t="s">
        <v>435</v>
      </c>
      <c r="J8" s="45">
        <v>6</v>
      </c>
      <c r="K8" s="115"/>
      <c r="L8" s="21">
        <v>2020</v>
      </c>
      <c r="M8" s="56" t="s">
        <v>83</v>
      </c>
      <c r="N8" s="47" t="str">
        <f>VLOOKUP(P8,[5]budget!$A$2:$C$104,3,0)</f>
        <v>აპარატი - პროტოკოლი</v>
      </c>
      <c r="O8" s="66"/>
      <c r="P8" s="48" t="s">
        <v>244</v>
      </c>
      <c r="Q8" s="47" t="str">
        <f>VLOOKUP(P8,[5]budget!$A$2:$B$104,2,0)</f>
        <v>ქალაქ ბათუმის მუნიციპალიტეტის მერია</v>
      </c>
      <c r="R8" s="176"/>
      <c r="S8" s="112"/>
      <c r="T8" s="113">
        <f>SUBTOTAL(9,U8:W8)</f>
        <v>0</v>
      </c>
      <c r="U8" s="113"/>
      <c r="V8" s="113"/>
      <c r="W8" s="113"/>
      <c r="X8" s="78"/>
      <c r="Y8" s="28" t="str">
        <f>IF(V8=0,"-",E8-V8)</f>
        <v>-</v>
      </c>
      <c r="Z8" s="29"/>
    </row>
    <row r="9" spans="1:26" ht="26.25" customHeight="1">
      <c r="A9" s="244"/>
      <c r="B9" s="256"/>
      <c r="C9" s="246"/>
      <c r="D9" s="226" t="s">
        <v>407</v>
      </c>
      <c r="E9" s="125">
        <f>2000-1000</f>
        <v>1000</v>
      </c>
      <c r="F9" s="91" t="s">
        <v>30</v>
      </c>
      <c r="G9" s="93" t="s">
        <v>397</v>
      </c>
      <c r="H9" s="92" t="str">
        <f>M9</f>
        <v>მე-10(1) მუხლ. მე-3 პუნქ. ”ვ” ქვეპ.</v>
      </c>
      <c r="I9" s="48" t="s">
        <v>586</v>
      </c>
      <c r="J9" s="45">
        <v>13</v>
      </c>
      <c r="K9" s="115"/>
      <c r="L9" s="21">
        <v>2020</v>
      </c>
      <c r="M9" s="56" t="s">
        <v>83</v>
      </c>
      <c r="N9" s="47" t="str">
        <f>VLOOKUP(P9,budget!$A$2:$C$96,3,0)</f>
        <v>საკრებულო</v>
      </c>
      <c r="O9" s="66"/>
      <c r="P9" s="48" t="s">
        <v>343</v>
      </c>
      <c r="Q9" s="47" t="str">
        <f>VLOOKUP(P9,budget!$A$2:$B$96,2,0)</f>
        <v>ქალაქ ბათუმის მუნიციპალიტეტის საკრებულო</v>
      </c>
      <c r="R9" s="71"/>
      <c r="S9" s="112"/>
      <c r="T9" s="113">
        <f t="shared" ref="T9:T90" si="0">SUBTOTAL(9,U9:W9)</f>
        <v>0</v>
      </c>
      <c r="U9" s="113"/>
      <c r="V9" s="113"/>
      <c r="W9" s="113"/>
      <c r="X9" s="78"/>
      <c r="Y9" s="28" t="str">
        <f t="shared" ref="Y9:Y90" si="1">IF(V9=0,"-",E9-V9)</f>
        <v>-</v>
      </c>
      <c r="Z9" s="29"/>
    </row>
    <row r="10" spans="1:26" ht="27" customHeight="1">
      <c r="A10" s="244">
        <v>2</v>
      </c>
      <c r="B10" s="256">
        <v>3200000</v>
      </c>
      <c r="C10" s="246" t="s">
        <v>360</v>
      </c>
      <c r="D10" s="226" t="s">
        <v>359</v>
      </c>
      <c r="E10" s="125">
        <v>1000</v>
      </c>
      <c r="F10" s="91" t="s">
        <v>30</v>
      </c>
      <c r="G10" s="237" t="s">
        <v>397</v>
      </c>
      <c r="H10" s="92" t="str">
        <f>M10</f>
        <v>მე-3 მუხ. 1-ლი პუნქ. "ს" ქვეპუნ.</v>
      </c>
      <c r="I10" s="101"/>
      <c r="J10" s="45"/>
      <c r="K10" s="116"/>
      <c r="L10" s="21">
        <v>2020</v>
      </c>
      <c r="M10" s="44" t="s">
        <v>31</v>
      </c>
      <c r="N10" s="47" t="str">
        <f>VLOOKUP(P10,budget!$A$2:$C$96,3,0)</f>
        <v>აპარატი - მატერ-ტექნიკ.</v>
      </c>
      <c r="O10" s="66"/>
      <c r="P10" s="46" t="s">
        <v>239</v>
      </c>
      <c r="Q10" s="47" t="str">
        <f>VLOOKUP(P10,budget!$A$2:$B$96,2,0)</f>
        <v>ქალაქ ბათუმის მუნიციპალიტეტის მერია</v>
      </c>
      <c r="R10" s="50"/>
      <c r="S10" s="112" t="s">
        <v>535</v>
      </c>
      <c r="T10" s="113">
        <f t="shared" si="0"/>
        <v>343.4</v>
      </c>
      <c r="U10" s="113"/>
      <c r="V10" s="113">
        <f>177.2+166.2</f>
        <v>343.4</v>
      </c>
      <c r="W10" s="113"/>
      <c r="X10" s="78" t="s">
        <v>460</v>
      </c>
      <c r="Y10" s="28">
        <f t="shared" si="1"/>
        <v>656.6</v>
      </c>
      <c r="Z10" s="29"/>
    </row>
    <row r="11" spans="1:26" ht="25.5" customHeight="1">
      <c r="A11" s="244"/>
      <c r="B11" s="256"/>
      <c r="C11" s="246"/>
      <c r="D11" s="226" t="s">
        <v>405</v>
      </c>
      <c r="E11" s="125">
        <f>500-300</f>
        <v>200</v>
      </c>
      <c r="F11" s="91" t="s">
        <v>30</v>
      </c>
      <c r="G11" s="237" t="s">
        <v>397</v>
      </c>
      <c r="H11" s="92" t="str">
        <f>M11</f>
        <v>მე-3 მუხ. 1-ლი პუნქ. "ს" ქვეპუნ.</v>
      </c>
      <c r="I11" s="101" t="s">
        <v>601</v>
      </c>
      <c r="J11" s="45">
        <v>13</v>
      </c>
      <c r="K11" s="116"/>
      <c r="L11" s="21">
        <v>2020</v>
      </c>
      <c r="M11" s="44" t="s">
        <v>31</v>
      </c>
      <c r="N11" s="47" t="str">
        <f>VLOOKUP(P11,budget!$A$2:$C$96,3,0)</f>
        <v>საკრებულო</v>
      </c>
      <c r="O11" s="66"/>
      <c r="P11" s="46" t="s">
        <v>343</v>
      </c>
      <c r="Q11" s="47" t="str">
        <f>VLOOKUP(P11,budget!$A$2:$B$96,2,0)</f>
        <v>ქალაქ ბათუმის მუნიციპალიტეტის საკრებულო</v>
      </c>
      <c r="R11" s="50"/>
      <c r="S11" s="112"/>
      <c r="T11" s="113">
        <f t="shared" si="0"/>
        <v>0</v>
      </c>
      <c r="U11" s="113"/>
      <c r="V11" s="113"/>
      <c r="W11" s="113"/>
      <c r="X11" s="78"/>
      <c r="Y11" s="28" t="str">
        <f t="shared" si="1"/>
        <v>-</v>
      </c>
      <c r="Z11" s="29"/>
    </row>
    <row r="12" spans="1:26" ht="25.5" customHeight="1">
      <c r="A12" s="244">
        <v>3</v>
      </c>
      <c r="B12" s="256" t="s">
        <v>258</v>
      </c>
      <c r="C12" s="246" t="s">
        <v>6</v>
      </c>
      <c r="D12" s="226" t="s">
        <v>21</v>
      </c>
      <c r="E12" s="125">
        <f>150000-11000</f>
        <v>139000</v>
      </c>
      <c r="F12" s="91" t="s">
        <v>106</v>
      </c>
      <c r="G12" s="237" t="s">
        <v>394</v>
      </c>
      <c r="H12" s="92" t="s">
        <v>404</v>
      </c>
      <c r="I12" s="48" t="s">
        <v>700</v>
      </c>
      <c r="J12" s="45">
        <v>20</v>
      </c>
      <c r="K12" s="115"/>
      <c r="L12" s="21">
        <v>2020</v>
      </c>
      <c r="M12" s="49"/>
      <c r="N12" s="47" t="str">
        <f>VLOOKUP(P12,budget!$A$2:$C$96,3,0)</f>
        <v>აპარატი - მატერ-ტექნიკ.</v>
      </c>
      <c r="O12" s="66"/>
      <c r="P12" s="46" t="s">
        <v>239</v>
      </c>
      <c r="Q12" s="47" t="str">
        <f>VLOOKUP(P12,budget!$A$2:$B$96,2,0)</f>
        <v>ქალაქ ბათუმის მუნიციპალიტეტის მერია</v>
      </c>
      <c r="R12" s="102"/>
      <c r="S12" s="205" t="s">
        <v>483</v>
      </c>
      <c r="T12" s="113">
        <f t="shared" si="0"/>
        <v>129385</v>
      </c>
      <c r="U12" s="206"/>
      <c r="V12" s="206">
        <f>118720+10665</f>
        <v>129385</v>
      </c>
      <c r="W12" s="206"/>
      <c r="X12" s="207" t="s">
        <v>482</v>
      </c>
      <c r="Y12" s="28">
        <f t="shared" si="1"/>
        <v>9615</v>
      </c>
      <c r="Z12" s="29"/>
    </row>
    <row r="13" spans="1:26" ht="29.25" customHeight="1">
      <c r="A13" s="244"/>
      <c r="B13" s="256"/>
      <c r="C13" s="246"/>
      <c r="D13" s="226" t="s">
        <v>406</v>
      </c>
      <c r="E13" s="125">
        <v>69460</v>
      </c>
      <c r="F13" s="91" t="s">
        <v>106</v>
      </c>
      <c r="G13" s="237" t="s">
        <v>394</v>
      </c>
      <c r="H13" s="92"/>
      <c r="I13" s="48"/>
      <c r="J13" s="45"/>
      <c r="K13" s="115"/>
      <c r="L13" s="21">
        <v>2020</v>
      </c>
      <c r="M13" s="49"/>
      <c r="N13" s="47" t="str">
        <f>budget!C17</f>
        <v>საკრებულო</v>
      </c>
      <c r="O13" s="66"/>
      <c r="P13" s="46" t="s">
        <v>343</v>
      </c>
      <c r="Q13" s="47" t="str">
        <f>VLOOKUP(P13,budget!$A$2:$B$96,2,0)</f>
        <v>ქალაქ ბათუმის მუნიციპალიტეტის საკრებულო</v>
      </c>
      <c r="R13" s="139"/>
      <c r="S13" s="205">
        <v>177</v>
      </c>
      <c r="T13" s="206">
        <f t="shared" si="0"/>
        <v>68992</v>
      </c>
      <c r="U13" s="206"/>
      <c r="V13" s="206">
        <v>68992</v>
      </c>
      <c r="W13" s="206"/>
      <c r="X13" s="210" t="s">
        <v>482</v>
      </c>
      <c r="Y13" s="28">
        <f t="shared" si="1"/>
        <v>468</v>
      </c>
      <c r="Z13" s="29"/>
    </row>
    <row r="14" spans="1:26" ht="33" customHeight="1">
      <c r="A14" s="244"/>
      <c r="B14" s="256"/>
      <c r="C14" s="246"/>
      <c r="D14" s="226" t="s">
        <v>264</v>
      </c>
      <c r="E14" s="125">
        <f>18750-1631.25</f>
        <v>17118.75</v>
      </c>
      <c r="F14" s="137" t="s">
        <v>24</v>
      </c>
      <c r="G14" s="93" t="s">
        <v>394</v>
      </c>
      <c r="H14" s="92"/>
      <c r="I14" s="48" t="s">
        <v>678</v>
      </c>
      <c r="J14" s="45">
        <v>18</v>
      </c>
      <c r="K14" s="115"/>
      <c r="L14" s="21">
        <v>2020</v>
      </c>
      <c r="M14" s="49"/>
      <c r="N14" s="47" t="str">
        <f>VLOOKUP(P14,budget!$A$2:$C$96,3,0)</f>
        <v>სოციალური</v>
      </c>
      <c r="O14" s="66" t="s">
        <v>55</v>
      </c>
      <c r="P14" s="48" t="s">
        <v>142</v>
      </c>
      <c r="Q14" s="47" t="str">
        <f>VLOOKUP(P14,budget!$A$2:$B$96,2,0)</f>
        <v xml:space="preserve">კომუნალური მომსახურების საფასურის სუბსიდირება </v>
      </c>
      <c r="R14" s="77"/>
      <c r="S14" s="112">
        <v>48</v>
      </c>
      <c r="T14" s="113">
        <f t="shared" si="0"/>
        <v>17118.75</v>
      </c>
      <c r="U14" s="113"/>
      <c r="V14" s="113">
        <v>17118.75</v>
      </c>
      <c r="W14" s="113"/>
      <c r="X14" s="78" t="s">
        <v>537</v>
      </c>
      <c r="Y14" s="28">
        <f t="shared" si="1"/>
        <v>0</v>
      </c>
      <c r="Z14" s="29"/>
    </row>
    <row r="15" spans="1:26" ht="29.25" customHeight="1">
      <c r="A15" s="244">
        <v>4</v>
      </c>
      <c r="B15" s="261" t="s">
        <v>368</v>
      </c>
      <c r="C15" s="246" t="s">
        <v>369</v>
      </c>
      <c r="D15" s="226" t="s">
        <v>370</v>
      </c>
      <c r="E15" s="125">
        <v>3000</v>
      </c>
      <c r="F15" s="91" t="s">
        <v>106</v>
      </c>
      <c r="G15" s="237" t="s">
        <v>394</v>
      </c>
      <c r="H15" s="92"/>
      <c r="I15" s="48"/>
      <c r="J15" s="45"/>
      <c r="K15" s="115"/>
      <c r="L15" s="21">
        <v>2020</v>
      </c>
      <c r="M15" s="49"/>
      <c r="N15" s="47" t="str">
        <f>budget!C3</f>
        <v>აპარატი</v>
      </c>
      <c r="O15" s="66"/>
      <c r="P15" s="46" t="s">
        <v>91</v>
      </c>
      <c r="Q15" s="47" t="str">
        <f>VLOOKUP(P15,budget!$A$2:$B$96,2,0)</f>
        <v>ქალაქ ბათუმის მუნიციპალიტეტის მერია</v>
      </c>
      <c r="R15" s="160"/>
      <c r="S15" s="205">
        <v>56</v>
      </c>
      <c r="T15" s="209">
        <f t="shared" si="0"/>
        <v>2467</v>
      </c>
      <c r="U15" s="209"/>
      <c r="V15" s="209">
        <v>2467</v>
      </c>
      <c r="W15" s="206"/>
      <c r="X15" s="207" t="s">
        <v>543</v>
      </c>
      <c r="Y15" s="28">
        <f t="shared" si="1"/>
        <v>533</v>
      </c>
      <c r="Z15" s="29"/>
    </row>
    <row r="16" spans="1:26" ht="29.25" customHeight="1">
      <c r="A16" s="244"/>
      <c r="B16" s="261"/>
      <c r="C16" s="246"/>
      <c r="D16" s="226" t="s">
        <v>370</v>
      </c>
      <c r="E16" s="125">
        <v>1000</v>
      </c>
      <c r="F16" s="91" t="s">
        <v>106</v>
      </c>
      <c r="G16" s="237" t="s">
        <v>397</v>
      </c>
      <c r="H16" s="92"/>
      <c r="I16" s="48"/>
      <c r="J16" s="45"/>
      <c r="K16" s="115"/>
      <c r="L16" s="21">
        <v>2020</v>
      </c>
      <c r="M16" s="49"/>
      <c r="N16" s="47" t="str">
        <f>VLOOKUP(P16,budget!$A$2:$C$96,3,0)</f>
        <v>საკრებულო</v>
      </c>
      <c r="O16" s="66"/>
      <c r="P16" s="46" t="s">
        <v>343</v>
      </c>
      <c r="Q16" s="47" t="str">
        <f>VLOOKUP(P16,budget!$A$2:$B$96,2,0)</f>
        <v>ქალაქ ბათუმის მუნიციპალიტეტის საკრებულო</v>
      </c>
      <c r="R16" s="153"/>
      <c r="S16" s="216">
        <v>57</v>
      </c>
      <c r="T16" s="217">
        <f t="shared" si="0"/>
        <v>417.9</v>
      </c>
      <c r="U16" s="217"/>
      <c r="V16" s="217">
        <v>417.9</v>
      </c>
      <c r="W16" s="217"/>
      <c r="X16" s="218" t="s">
        <v>543</v>
      </c>
      <c r="Y16" s="28">
        <f t="shared" si="1"/>
        <v>582.1</v>
      </c>
      <c r="Z16" s="29"/>
    </row>
    <row r="17" spans="1:26" ht="26.25" customHeight="1">
      <c r="A17" s="244">
        <v>5</v>
      </c>
      <c r="B17" s="256" t="s">
        <v>319</v>
      </c>
      <c r="C17" s="246" t="s">
        <v>318</v>
      </c>
      <c r="D17" s="226" t="s">
        <v>320</v>
      </c>
      <c r="E17" s="125">
        <v>600</v>
      </c>
      <c r="F17" s="91" t="s">
        <v>30</v>
      </c>
      <c r="G17" s="237" t="s">
        <v>397</v>
      </c>
      <c r="H17" s="92" t="str">
        <f>M17</f>
        <v>მე-3 მუხ. 1-ლი პუნქ. "ს" ქვეპუნ.</v>
      </c>
      <c r="I17" s="66"/>
      <c r="J17" s="45"/>
      <c r="K17" s="115"/>
      <c r="L17" s="21">
        <v>2020</v>
      </c>
      <c r="M17" s="44" t="s">
        <v>31</v>
      </c>
      <c r="N17" s="47" t="str">
        <f>VLOOKUP(P17,budget!$A$2:$C$96,3,0)</f>
        <v>აპარატი - მატერ-ტექნიკ.</v>
      </c>
      <c r="O17" s="66"/>
      <c r="P17" s="48" t="s">
        <v>239</v>
      </c>
      <c r="Q17" s="47" t="str">
        <f>VLOOKUP(P17,budget!$A$2:$B$96,2,0)</f>
        <v>ქალაქ ბათუმის მუნიციპალიტეტის მერია</v>
      </c>
      <c r="R17" s="176"/>
      <c r="S17" s="112"/>
      <c r="T17" s="113">
        <f t="shared" si="0"/>
        <v>0</v>
      </c>
      <c r="U17" s="113"/>
      <c r="V17" s="113"/>
      <c r="W17" s="113"/>
      <c r="X17" s="78"/>
      <c r="Y17" s="28" t="str">
        <f t="shared" si="1"/>
        <v>-</v>
      </c>
      <c r="Z17" s="29"/>
    </row>
    <row r="18" spans="1:26" ht="27" customHeight="1">
      <c r="A18" s="244"/>
      <c r="B18" s="256"/>
      <c r="C18" s="246"/>
      <c r="D18" s="226" t="s">
        <v>408</v>
      </c>
      <c r="E18" s="125">
        <f>300-150</f>
        <v>150</v>
      </c>
      <c r="F18" s="91" t="s">
        <v>30</v>
      </c>
      <c r="G18" s="237" t="s">
        <v>397</v>
      </c>
      <c r="H18" s="92" t="str">
        <f>M18</f>
        <v>მე-3 მუხ. 1-ლი პუნქ. "ს" ქვეპუნ.</v>
      </c>
      <c r="I18" s="66" t="s">
        <v>484</v>
      </c>
      <c r="J18" s="45">
        <v>6</v>
      </c>
      <c r="K18" s="115"/>
      <c r="L18" s="21">
        <v>2020</v>
      </c>
      <c r="M18" s="44" t="s">
        <v>31</v>
      </c>
      <c r="N18" s="47" t="str">
        <f>VLOOKUP(P18,[6]budget!$A$2:$C$104,3,0)</f>
        <v>საკრებულო</v>
      </c>
      <c r="O18" s="66"/>
      <c r="P18" s="48" t="s">
        <v>343</v>
      </c>
      <c r="Q18" s="47" t="str">
        <f>VLOOKUP(P18,[6]budget!$A$2:$B$104,2,0)</f>
        <v>ქალაქ ბათუმის მუნიციპალიტეტის საკრებულო</v>
      </c>
      <c r="R18" s="176"/>
      <c r="S18" s="112"/>
      <c r="T18" s="113">
        <f t="shared" si="0"/>
        <v>0</v>
      </c>
      <c r="U18" s="113"/>
      <c r="V18" s="113"/>
      <c r="W18" s="113"/>
      <c r="X18" s="78"/>
      <c r="Y18" s="28" t="str">
        <f t="shared" si="1"/>
        <v>-</v>
      </c>
      <c r="Z18" s="29"/>
    </row>
    <row r="19" spans="1:26" ht="27.75" customHeight="1">
      <c r="A19" s="244"/>
      <c r="B19" s="256"/>
      <c r="C19" s="246"/>
      <c r="D19" s="226" t="s">
        <v>408</v>
      </c>
      <c r="E19" s="125">
        <f>150-50</f>
        <v>100</v>
      </c>
      <c r="F19" s="91" t="s">
        <v>30</v>
      </c>
      <c r="G19" s="237" t="s">
        <v>397</v>
      </c>
      <c r="H19" s="92" t="str">
        <f>M19</f>
        <v>მე-3 მუხ. 1-ლი პუნქ. "ვ" ქვეპუნ.</v>
      </c>
      <c r="I19" s="101" t="s">
        <v>587</v>
      </c>
      <c r="J19" s="45">
        <v>13</v>
      </c>
      <c r="K19" s="115"/>
      <c r="L19" s="21">
        <v>2020</v>
      </c>
      <c r="M19" s="44" t="s">
        <v>485</v>
      </c>
      <c r="N19" s="47" t="str">
        <f>VLOOKUP(P19,budget!$A$2:$C$96,3,0)</f>
        <v>საკრებულო</v>
      </c>
      <c r="O19" s="66"/>
      <c r="P19" s="48" t="s">
        <v>343</v>
      </c>
      <c r="Q19" s="47" t="str">
        <f>VLOOKUP(P19,budget!$A$2:$B$96,2,0)</f>
        <v>ქალაქ ბათუმის მუნიციპალიტეტის საკრებულო</v>
      </c>
      <c r="R19" s="130"/>
      <c r="S19" s="112"/>
      <c r="T19" s="113">
        <f t="shared" si="0"/>
        <v>0</v>
      </c>
      <c r="U19" s="113"/>
      <c r="V19" s="113"/>
      <c r="W19" s="113"/>
      <c r="X19" s="78"/>
      <c r="Y19" s="28" t="str">
        <f t="shared" si="1"/>
        <v>-</v>
      </c>
      <c r="Z19" s="29"/>
    </row>
    <row r="20" spans="1:26" ht="27" customHeight="1">
      <c r="A20" s="244">
        <v>6</v>
      </c>
      <c r="B20" s="244">
        <v>15800000</v>
      </c>
      <c r="C20" s="246" t="s">
        <v>7</v>
      </c>
      <c r="D20" s="226" t="s">
        <v>29</v>
      </c>
      <c r="E20" s="125">
        <f>2000</f>
        <v>2000</v>
      </c>
      <c r="F20" s="91" t="s">
        <v>30</v>
      </c>
      <c r="G20" s="237" t="s">
        <v>397</v>
      </c>
      <c r="H20" s="92" t="str">
        <f>M20</f>
        <v>მე-3 მუხ. 1-ლი პუნქ. "ს" ქვეპუნ.</v>
      </c>
      <c r="I20" s="101"/>
      <c r="J20" s="45"/>
      <c r="K20" s="116"/>
      <c r="L20" s="21">
        <v>2020</v>
      </c>
      <c r="M20" s="44" t="s">
        <v>31</v>
      </c>
      <c r="N20" s="47" t="str">
        <f>VLOOKUP(P20,budget!$A$2:$C$96,3,0)</f>
        <v>აპარატი - მატერ-ტექნიკ.</v>
      </c>
      <c r="O20" s="66"/>
      <c r="P20" s="46" t="s">
        <v>239</v>
      </c>
      <c r="Q20" s="47" t="str">
        <f>VLOOKUP(P20,budget!$A$2:$B$96,2,0)</f>
        <v>ქალაქ ბათუმის მუნიციპალიტეტის მერია</v>
      </c>
      <c r="R20" s="50"/>
      <c r="S20" s="208" t="s">
        <v>648</v>
      </c>
      <c r="T20" s="113">
        <f t="shared" si="0"/>
        <v>633</v>
      </c>
      <c r="U20" s="209"/>
      <c r="V20" s="209">
        <f>312.5+320.5</f>
        <v>633</v>
      </c>
      <c r="W20" s="209"/>
      <c r="X20" s="207" t="s">
        <v>464</v>
      </c>
      <c r="Y20" s="28">
        <f t="shared" si="1"/>
        <v>1367</v>
      </c>
      <c r="Z20" s="29"/>
    </row>
    <row r="21" spans="1:26" ht="27" customHeight="1">
      <c r="A21" s="244"/>
      <c r="B21" s="244"/>
      <c r="C21" s="246"/>
      <c r="D21" s="226" t="s">
        <v>409</v>
      </c>
      <c r="E21" s="125">
        <f>1000-200</f>
        <v>800</v>
      </c>
      <c r="F21" s="91" t="s">
        <v>30</v>
      </c>
      <c r="G21" s="237" t="s">
        <v>397</v>
      </c>
      <c r="H21" s="92" t="str">
        <f>M21</f>
        <v>მე-3 მუხ. 1-ლი პუნქ. "ს" ქვეპუნ.</v>
      </c>
      <c r="I21" s="101" t="s">
        <v>486</v>
      </c>
      <c r="J21" s="45">
        <v>6</v>
      </c>
      <c r="K21" s="116"/>
      <c r="L21" s="21">
        <v>2020</v>
      </c>
      <c r="M21" s="44" t="s">
        <v>31</v>
      </c>
      <c r="N21" s="47" t="str">
        <f>VLOOKUP(P21,budget!$A$2:$C$96,3,0)</f>
        <v>საკრებულო</v>
      </c>
      <c r="O21" s="66"/>
      <c r="P21" s="46" t="s">
        <v>343</v>
      </c>
      <c r="Q21" s="47" t="str">
        <f>VLOOKUP(P21,budget!$A$2:$B$96,2,0)</f>
        <v>ქალაქ ბათუმის მუნიციპალიტეტის საკრებულო</v>
      </c>
      <c r="R21" s="50"/>
      <c r="S21" s="112">
        <v>20</v>
      </c>
      <c r="T21" s="113">
        <f t="shared" si="0"/>
        <v>525</v>
      </c>
      <c r="U21" s="113"/>
      <c r="V21" s="113">
        <v>525</v>
      </c>
      <c r="W21" s="113"/>
      <c r="X21" s="78" t="s">
        <v>463</v>
      </c>
      <c r="Y21" s="28">
        <f t="shared" si="1"/>
        <v>275</v>
      </c>
      <c r="Z21" s="29"/>
    </row>
    <row r="22" spans="1:26" ht="27.75" customHeight="1">
      <c r="A22" s="244"/>
      <c r="B22" s="244"/>
      <c r="C22" s="246"/>
      <c r="D22" s="226" t="s">
        <v>487</v>
      </c>
      <c r="E22" s="125">
        <v>200</v>
      </c>
      <c r="F22" s="91" t="s">
        <v>30</v>
      </c>
      <c r="G22" s="237" t="s">
        <v>397</v>
      </c>
      <c r="H22" s="92" t="str">
        <f t="shared" ref="H22" si="2">M22</f>
        <v>მე-3 მუხ. 1-ლი პუნქ. "ვ" ქვეპუნ.</v>
      </c>
      <c r="I22" s="101" t="s">
        <v>435</v>
      </c>
      <c r="J22" s="45">
        <v>6</v>
      </c>
      <c r="K22" s="116"/>
      <c r="L22" s="21">
        <v>2020</v>
      </c>
      <c r="M22" s="44" t="s">
        <v>485</v>
      </c>
      <c r="N22" s="47" t="str">
        <f>VLOOKUP(P22,[6]budget!$A$2:$C$104,3,0)</f>
        <v>საკრებულო</v>
      </c>
      <c r="O22" s="66"/>
      <c r="P22" s="46" t="s">
        <v>343</v>
      </c>
      <c r="Q22" s="47" t="str">
        <f>VLOOKUP(P22,[6]budget!$A$2:$B$104,2,0)</f>
        <v>ქალაქ ბათუმის მუნიციპალიტეტის საკრებულო</v>
      </c>
      <c r="R22" s="50"/>
      <c r="S22" s="112"/>
      <c r="T22" s="113">
        <f t="shared" si="0"/>
        <v>0</v>
      </c>
      <c r="U22" s="113"/>
      <c r="V22" s="113"/>
      <c r="W22" s="113"/>
      <c r="X22" s="78"/>
      <c r="Y22" s="28" t="str">
        <f t="shared" si="1"/>
        <v>-</v>
      </c>
      <c r="Z22" s="29"/>
    </row>
    <row r="23" spans="1:26" ht="27.75" customHeight="1">
      <c r="A23" s="244"/>
      <c r="B23" s="244"/>
      <c r="C23" s="246"/>
      <c r="D23" s="226" t="s">
        <v>362</v>
      </c>
      <c r="E23" s="125">
        <v>600</v>
      </c>
      <c r="F23" s="91" t="s">
        <v>30</v>
      </c>
      <c r="G23" s="237" t="s">
        <v>397</v>
      </c>
      <c r="H23" s="92" t="str">
        <f>M23</f>
        <v>მე-3 მუხ. 1-ლი პუნქ. "ს" ქვეპუნ.</v>
      </c>
      <c r="I23" s="101"/>
      <c r="J23" s="45"/>
      <c r="K23" s="116"/>
      <c r="L23" s="21">
        <v>2020</v>
      </c>
      <c r="M23" s="44" t="s">
        <v>31</v>
      </c>
      <c r="N23" s="47" t="str">
        <f>VLOOKUP(P23,budget!$A$2:$C$96,3,0)</f>
        <v>აპარატი - მატერ-ტექნიკ.</v>
      </c>
      <c r="O23" s="66"/>
      <c r="P23" s="46" t="s">
        <v>239</v>
      </c>
      <c r="Q23" s="47" t="str">
        <f>VLOOKUP(P23,budget!$A$2:$B$96,2,0)</f>
        <v>ქალაქ ბათუმის მუნიციპალიტეტის მერია</v>
      </c>
      <c r="R23" s="50"/>
      <c r="S23" s="112"/>
      <c r="T23" s="113">
        <f t="shared" si="0"/>
        <v>0</v>
      </c>
      <c r="U23" s="113"/>
      <c r="V23" s="113"/>
      <c r="W23" s="113"/>
      <c r="X23" s="78"/>
      <c r="Y23" s="28" t="str">
        <f t="shared" si="1"/>
        <v>-</v>
      </c>
      <c r="Z23" s="29"/>
    </row>
    <row r="24" spans="1:26" ht="22.5" customHeight="1">
      <c r="A24" s="244">
        <v>7</v>
      </c>
      <c r="B24" s="244">
        <v>15900000</v>
      </c>
      <c r="C24" s="246" t="s">
        <v>27</v>
      </c>
      <c r="D24" s="226" t="s">
        <v>26</v>
      </c>
      <c r="E24" s="125">
        <f>7000-298</f>
        <v>6702</v>
      </c>
      <c r="F24" s="91" t="s">
        <v>24</v>
      </c>
      <c r="G24" s="237" t="s">
        <v>394</v>
      </c>
      <c r="H24" s="92"/>
      <c r="I24" s="173" t="s">
        <v>672</v>
      </c>
      <c r="J24" s="174">
        <v>18</v>
      </c>
      <c r="K24" s="116"/>
      <c r="L24" s="21">
        <v>2020</v>
      </c>
      <c r="M24" s="44"/>
      <c r="N24" s="47" t="str">
        <f>VLOOKUP(P24,budget!$A$2:$C$96,3,0)</f>
        <v>აპარატი - მატერ-ტექნიკ.</v>
      </c>
      <c r="O24" s="66" t="s">
        <v>55</v>
      </c>
      <c r="P24" s="46" t="s">
        <v>239</v>
      </c>
      <c r="Q24" s="47" t="str">
        <f>VLOOKUP(P24,budget!$A$2:$B$96,2,0)</f>
        <v>ქალაქ ბათუმის მუნიციპალიტეტის მერია</v>
      </c>
      <c r="R24" s="50"/>
      <c r="S24" s="208">
        <v>30</v>
      </c>
      <c r="T24" s="113">
        <f t="shared" si="0"/>
        <v>6701.05</v>
      </c>
      <c r="U24" s="209"/>
      <c r="V24" s="209">
        <v>6701.05</v>
      </c>
      <c r="W24" s="209"/>
      <c r="X24" s="207" t="s">
        <v>498</v>
      </c>
      <c r="Y24" s="28">
        <f t="shared" si="1"/>
        <v>0.9499999999998181</v>
      </c>
      <c r="Z24" s="29"/>
    </row>
    <row r="25" spans="1:26" ht="27.75" customHeight="1">
      <c r="A25" s="244"/>
      <c r="B25" s="244"/>
      <c r="C25" s="246"/>
      <c r="D25" s="226" t="s">
        <v>159</v>
      </c>
      <c r="E25" s="125">
        <v>4000</v>
      </c>
      <c r="F25" s="91" t="s">
        <v>30</v>
      </c>
      <c r="G25" s="237" t="s">
        <v>397</v>
      </c>
      <c r="H25" s="92" t="str">
        <f>M25</f>
        <v>მე-3 მუხ. 1-ლი პუნქ. "ვ" ქვეპუნ.</v>
      </c>
      <c r="I25" s="188" t="s">
        <v>435</v>
      </c>
      <c r="J25" s="174">
        <v>6</v>
      </c>
      <c r="K25" s="116"/>
      <c r="L25" s="21">
        <v>2020</v>
      </c>
      <c r="M25" s="44" t="s">
        <v>485</v>
      </c>
      <c r="N25" s="47" t="str">
        <f>VLOOKUP(P25,[6]budget!$A$2:$C$104,3,0)</f>
        <v>აპარატი - პროტოკოლი</v>
      </c>
      <c r="O25" s="66"/>
      <c r="P25" s="46" t="s">
        <v>244</v>
      </c>
      <c r="Q25" s="47" t="str">
        <f>VLOOKUP(P25,[6]budget!$A$2:$B$104,2,0)</f>
        <v>ქალაქ ბათუმის მუნიციპალიტეტის მერია</v>
      </c>
      <c r="R25" s="50"/>
      <c r="S25" s="112"/>
      <c r="T25" s="113">
        <f t="shared" si="0"/>
        <v>0</v>
      </c>
      <c r="U25" s="113"/>
      <c r="V25" s="113"/>
      <c r="W25" s="113"/>
      <c r="X25" s="78"/>
      <c r="Y25" s="28" t="str">
        <f t="shared" si="1"/>
        <v>-</v>
      </c>
      <c r="Z25" s="29"/>
    </row>
    <row r="26" spans="1:26" ht="24.75" customHeight="1">
      <c r="A26" s="244"/>
      <c r="B26" s="244"/>
      <c r="C26" s="246"/>
      <c r="D26" s="226" t="s">
        <v>488</v>
      </c>
      <c r="E26" s="125">
        <f>2800-17</f>
        <v>2783</v>
      </c>
      <c r="F26" s="91" t="s">
        <v>24</v>
      </c>
      <c r="G26" s="237" t="s">
        <v>397</v>
      </c>
      <c r="H26" s="92"/>
      <c r="I26" s="48" t="s">
        <v>671</v>
      </c>
      <c r="J26" s="45">
        <v>18</v>
      </c>
      <c r="K26" s="115"/>
      <c r="L26" s="21">
        <v>2020</v>
      </c>
      <c r="M26" s="49"/>
      <c r="N26" s="47" t="str">
        <f>VLOOKUP(P26,budget!$A$2:$C$96,3,0)</f>
        <v>საკრებულო</v>
      </c>
      <c r="O26" s="66" t="s">
        <v>55</v>
      </c>
      <c r="P26" s="46" t="s">
        <v>343</v>
      </c>
      <c r="Q26" s="47" t="str">
        <f>budget!B17</f>
        <v>ქალაქ ბათუმის მუნიციპალიტეტის საკრებულო</v>
      </c>
      <c r="R26" s="139"/>
      <c r="S26" s="133">
        <v>32</v>
      </c>
      <c r="T26" s="113">
        <f t="shared" si="0"/>
        <v>2782.5</v>
      </c>
      <c r="U26" s="113"/>
      <c r="V26" s="113">
        <v>2782.5</v>
      </c>
      <c r="W26" s="113"/>
      <c r="X26" s="78" t="s">
        <v>500</v>
      </c>
      <c r="Y26" s="28">
        <f t="shared" si="1"/>
        <v>0.5</v>
      </c>
      <c r="Z26" s="29"/>
    </row>
    <row r="27" spans="1:26" ht="29.25" customHeight="1">
      <c r="A27" s="244"/>
      <c r="B27" s="244"/>
      <c r="C27" s="246"/>
      <c r="D27" s="226" t="s">
        <v>159</v>
      </c>
      <c r="E27" s="125">
        <v>100</v>
      </c>
      <c r="F27" s="91" t="s">
        <v>30</v>
      </c>
      <c r="G27" s="237" t="s">
        <v>397</v>
      </c>
      <c r="H27" s="92" t="str">
        <f t="shared" ref="H27" si="3">M27</f>
        <v>მე-3 მუხ. 1-ლი პუნქ. "ვ" ქვეპუნ.</v>
      </c>
      <c r="I27" s="48" t="s">
        <v>435</v>
      </c>
      <c r="J27" s="45">
        <v>6</v>
      </c>
      <c r="K27" s="115"/>
      <c r="L27" s="21">
        <v>2020</v>
      </c>
      <c r="M27" s="44" t="s">
        <v>485</v>
      </c>
      <c r="N27" s="47" t="str">
        <f>VLOOKUP(P27,[6]budget!$A$2:$C$104,3,0)</f>
        <v>საკრებულო</v>
      </c>
      <c r="O27" s="66"/>
      <c r="P27" s="46" t="s">
        <v>343</v>
      </c>
      <c r="Q27" s="47" t="str">
        <f>[6]budget!B16</f>
        <v>მუნიციპალიტეტის საჯარო მოსამსახურეთა პროფესიული განვითარება</v>
      </c>
      <c r="R27" s="176"/>
      <c r="S27" s="133"/>
      <c r="T27" s="113">
        <f t="shared" si="0"/>
        <v>0</v>
      </c>
      <c r="U27" s="113"/>
      <c r="V27" s="113"/>
      <c r="W27" s="113"/>
      <c r="X27" s="78"/>
      <c r="Y27" s="28" t="str">
        <f t="shared" si="1"/>
        <v>-</v>
      </c>
      <c r="Z27" s="29"/>
    </row>
    <row r="28" spans="1:26" ht="29.25" customHeight="1">
      <c r="A28" s="237">
        <v>8</v>
      </c>
      <c r="B28" s="237">
        <v>18100000</v>
      </c>
      <c r="C28" s="236" t="s">
        <v>583</v>
      </c>
      <c r="D28" s="226" t="s">
        <v>584</v>
      </c>
      <c r="E28" s="125">
        <v>900</v>
      </c>
      <c r="F28" s="91" t="s">
        <v>30</v>
      </c>
      <c r="G28" s="237" t="s">
        <v>398</v>
      </c>
      <c r="H28" s="92" t="str">
        <f>M28</f>
        <v>მე-3 მუხ. 1-ლი პუნქ. "ს" ქვეპუნ.</v>
      </c>
      <c r="I28" s="48" t="s">
        <v>435</v>
      </c>
      <c r="J28" s="45">
        <v>12</v>
      </c>
      <c r="K28" s="115"/>
      <c r="L28" s="21">
        <v>2020</v>
      </c>
      <c r="M28" s="44" t="s">
        <v>31</v>
      </c>
      <c r="N28" s="47" t="str">
        <f>VLOOKUP(P28,[7]budget!$A$2:$C$104,3,0)</f>
        <v>აპარატი - მატერ-ტექნიკ.</v>
      </c>
      <c r="O28" s="66"/>
      <c r="P28" s="46" t="s">
        <v>239</v>
      </c>
      <c r="Q28" s="47" t="str">
        <f>VLOOKUP(P28,[7]budget!$A$2:$B$104,2,0)</f>
        <v>ქალაქ ბათუმის მუნიციპალიტეტის მერია</v>
      </c>
      <c r="R28" s="176"/>
      <c r="S28" s="133">
        <v>78</v>
      </c>
      <c r="T28" s="113"/>
      <c r="U28" s="113"/>
      <c r="V28" s="113">
        <v>900</v>
      </c>
      <c r="W28" s="113"/>
      <c r="X28" s="78" t="s">
        <v>540</v>
      </c>
      <c r="Y28" s="28"/>
      <c r="Z28" s="29"/>
    </row>
    <row r="29" spans="1:26" ht="29.25" customHeight="1">
      <c r="A29" s="244">
        <v>9</v>
      </c>
      <c r="B29" s="244">
        <v>18400000</v>
      </c>
      <c r="C29" s="246" t="s">
        <v>531</v>
      </c>
      <c r="D29" s="226" t="s">
        <v>532</v>
      </c>
      <c r="E29" s="125">
        <v>850</v>
      </c>
      <c r="F29" s="91" t="s">
        <v>30</v>
      </c>
      <c r="G29" s="237" t="s">
        <v>397</v>
      </c>
      <c r="H29" s="92" t="str">
        <f>M29</f>
        <v>მე-3 მუხ. 1-ლი პუნქ. "ს" ქვეპუნ.</v>
      </c>
      <c r="I29" s="48" t="s">
        <v>435</v>
      </c>
      <c r="J29" s="45">
        <v>10</v>
      </c>
      <c r="K29" s="115"/>
      <c r="L29" s="21">
        <v>2020</v>
      </c>
      <c r="M29" s="44" t="s">
        <v>31</v>
      </c>
      <c r="N29" s="47" t="str">
        <f>VLOOKUP(P29,budget!$A$2:$C$96,3,0)</f>
        <v>აპარატი</v>
      </c>
      <c r="O29" s="66"/>
      <c r="P29" s="46" t="s">
        <v>91</v>
      </c>
      <c r="Q29" s="47" t="str">
        <f>VLOOKUP(P29,budget!$A$2:$B$96,2,0)</f>
        <v>ქალაქ ბათუმის მუნიციპალიტეტის მერია</v>
      </c>
      <c r="R29" s="176"/>
      <c r="S29" s="205">
        <v>68</v>
      </c>
      <c r="T29" s="113">
        <f t="shared" ref="T29:T30" si="4">SUBTOTAL(9,U29:W29)</f>
        <v>850</v>
      </c>
      <c r="U29" s="206"/>
      <c r="V29" s="206">
        <v>850</v>
      </c>
      <c r="W29" s="206"/>
      <c r="X29" s="210" t="s">
        <v>558</v>
      </c>
      <c r="Y29" s="28">
        <f t="shared" ref="Y29" si="5">IF(V29=0,"-",E29-V29)</f>
        <v>0</v>
      </c>
      <c r="Z29" s="29"/>
    </row>
    <row r="30" spans="1:26" ht="29.25" customHeight="1">
      <c r="A30" s="244"/>
      <c r="B30" s="244"/>
      <c r="C30" s="246"/>
      <c r="D30" s="226" t="s">
        <v>532</v>
      </c>
      <c r="E30" s="125">
        <v>1200</v>
      </c>
      <c r="F30" s="91" t="s">
        <v>30</v>
      </c>
      <c r="G30" s="237" t="s">
        <v>397</v>
      </c>
      <c r="H30" s="92" t="str">
        <f>M30</f>
        <v>მე-3 მუხ. 1-ლი პუნქ. "ს" ქვეპუნ.</v>
      </c>
      <c r="I30" s="48" t="s">
        <v>435</v>
      </c>
      <c r="J30" s="45">
        <v>19</v>
      </c>
      <c r="K30" s="115"/>
      <c r="L30" s="21">
        <v>2020</v>
      </c>
      <c r="M30" s="44" t="s">
        <v>31</v>
      </c>
      <c r="N30" s="47" t="str">
        <f>VLOOKUP(P30,budget!$A$2:$C$96,3,0)</f>
        <v>აპარატი</v>
      </c>
      <c r="O30" s="66"/>
      <c r="P30" s="46" t="s">
        <v>91</v>
      </c>
      <c r="Q30" s="47" t="str">
        <f>VLOOKUP(P30,budget!$A$2:$B$96,2,0)</f>
        <v>ქალაქ ბათუმის მუნიციპალიტეტის მერია</v>
      </c>
      <c r="R30" s="176"/>
      <c r="S30" s="205">
        <v>113</v>
      </c>
      <c r="T30" s="113">
        <f t="shared" si="4"/>
        <v>1200</v>
      </c>
      <c r="U30" s="206"/>
      <c r="V30" s="206">
        <v>1200</v>
      </c>
      <c r="W30" s="206"/>
      <c r="X30" s="210" t="s">
        <v>697</v>
      </c>
      <c r="Y30" s="28">
        <f t="shared" ref="Y30" si="6">IF(V30=0,"-",E30-V30)</f>
        <v>0</v>
      </c>
      <c r="Z30" s="29"/>
    </row>
    <row r="31" spans="1:26" ht="29.25" customHeight="1">
      <c r="A31" s="244"/>
      <c r="B31" s="244"/>
      <c r="C31" s="246"/>
      <c r="D31" s="226" t="s">
        <v>607</v>
      </c>
      <c r="E31" s="125">
        <v>60</v>
      </c>
      <c r="F31" s="91" t="s">
        <v>30</v>
      </c>
      <c r="G31" s="237" t="s">
        <v>397</v>
      </c>
      <c r="H31" s="92" t="str">
        <f>M31</f>
        <v>მე-3 მუხ. 1-ლი პუნქ. "ს" ქვეპუნ.</v>
      </c>
      <c r="I31" s="48" t="s">
        <v>435</v>
      </c>
      <c r="J31" s="45">
        <v>14</v>
      </c>
      <c r="K31" s="115"/>
      <c r="L31" s="21">
        <v>2020</v>
      </c>
      <c r="M31" s="44" t="s">
        <v>31</v>
      </c>
      <c r="N31" s="47" t="str">
        <f>VLOOKUP(P31,budget!$A$2:$C$96,3,0)</f>
        <v>საკრებულო</v>
      </c>
      <c r="O31" s="66"/>
      <c r="P31" s="46" t="s">
        <v>343</v>
      </c>
      <c r="Q31" s="47" t="str">
        <f>VLOOKUP(P31,budget!$A$2:$B$96,2,0)</f>
        <v>ქალაქ ბათუმის მუნიციპალიტეტის საკრებულო</v>
      </c>
      <c r="R31" s="176"/>
      <c r="S31" s="205">
        <v>83</v>
      </c>
      <c r="T31" s="113">
        <f t="shared" si="0"/>
        <v>60</v>
      </c>
      <c r="U31" s="206"/>
      <c r="V31" s="206">
        <v>60</v>
      </c>
      <c r="W31" s="206"/>
      <c r="X31" s="210" t="s">
        <v>558</v>
      </c>
      <c r="Y31" s="28">
        <f t="shared" si="1"/>
        <v>0</v>
      </c>
      <c r="Z31" s="29"/>
    </row>
    <row r="32" spans="1:26" ht="27.75" customHeight="1">
      <c r="A32" s="243">
        <v>10</v>
      </c>
      <c r="B32" s="244">
        <v>18500000</v>
      </c>
      <c r="C32" s="262" t="s">
        <v>412</v>
      </c>
      <c r="D32" s="226" t="s">
        <v>159</v>
      </c>
      <c r="E32" s="125">
        <v>1720</v>
      </c>
      <c r="F32" s="91" t="s">
        <v>30</v>
      </c>
      <c r="G32" s="93" t="s">
        <v>342</v>
      </c>
      <c r="H32" s="92" t="str">
        <f t="shared" ref="H32:H33" si="7">M32</f>
        <v>მე-10(1) მუხლ. მე-3 პუნქ. ”ვ” ქვეპ.</v>
      </c>
      <c r="I32" s="66" t="s">
        <v>435</v>
      </c>
      <c r="J32" s="45">
        <v>5</v>
      </c>
      <c r="K32" s="117"/>
      <c r="L32" s="21">
        <v>2019</v>
      </c>
      <c r="M32" s="56" t="s">
        <v>83</v>
      </c>
      <c r="N32" s="47" t="str">
        <f>VLOOKUP(P32,[8]budget!$A$2:$C$104,3,0)</f>
        <v>აპარატი</v>
      </c>
      <c r="O32" s="66" t="s">
        <v>316</v>
      </c>
      <c r="P32" s="48" t="s">
        <v>91</v>
      </c>
      <c r="Q32" s="47" t="str">
        <f>VLOOKUP(P32,[8]budget!$A$2:$B$104,2,0)</f>
        <v>ქალაქ ბათუმის მუნიციპალიტეტის მერია</v>
      </c>
      <c r="R32" s="50"/>
      <c r="S32" s="205">
        <v>19</v>
      </c>
      <c r="T32" s="113">
        <f t="shared" si="0"/>
        <v>1720</v>
      </c>
      <c r="U32" s="206"/>
      <c r="V32" s="206">
        <v>1720</v>
      </c>
      <c r="W32" s="206"/>
      <c r="X32" s="210" t="s">
        <v>462</v>
      </c>
      <c r="Y32" s="28">
        <f t="shared" si="1"/>
        <v>0</v>
      </c>
      <c r="Z32" s="29"/>
    </row>
    <row r="33" spans="1:26" ht="30.75" customHeight="1">
      <c r="A33" s="243"/>
      <c r="B33" s="244"/>
      <c r="C33" s="262"/>
      <c r="D33" s="226" t="s">
        <v>159</v>
      </c>
      <c r="E33" s="125">
        <v>7000</v>
      </c>
      <c r="F33" s="91" t="s">
        <v>30</v>
      </c>
      <c r="G33" s="93" t="s">
        <v>397</v>
      </c>
      <c r="H33" s="92" t="str">
        <f t="shared" si="7"/>
        <v>მე-10(1) მუხლ. მე-3 პუნქ. ”ვ” ქვეპ.</v>
      </c>
      <c r="I33" s="66" t="s">
        <v>435</v>
      </c>
      <c r="J33" s="45">
        <v>6</v>
      </c>
      <c r="K33" s="117"/>
      <c r="L33" s="21">
        <v>2020</v>
      </c>
      <c r="M33" s="56" t="s">
        <v>83</v>
      </c>
      <c r="N33" s="47" t="str">
        <f>VLOOKUP(P33,[8]budget!$A$2:$C$104,3,0)</f>
        <v>აპარატი - პროტოკოლი</v>
      </c>
      <c r="O33" s="66" t="s">
        <v>316</v>
      </c>
      <c r="P33" s="48" t="s">
        <v>244</v>
      </c>
      <c r="Q33" s="47" t="str">
        <f>VLOOKUP(P33,[8]budget!$A$2:$B$104,2,0)</f>
        <v>ქალაქ ბათუმის მუნიციპალიტეტის მერია</v>
      </c>
      <c r="R33" s="50"/>
      <c r="S33" s="112"/>
      <c r="T33" s="113">
        <f t="shared" si="0"/>
        <v>0</v>
      </c>
      <c r="U33" s="113"/>
      <c r="V33" s="113"/>
      <c r="W33" s="113"/>
      <c r="X33" s="78"/>
      <c r="Y33" s="28" t="str">
        <f t="shared" si="1"/>
        <v>-</v>
      </c>
      <c r="Z33" s="29"/>
    </row>
    <row r="34" spans="1:26" ht="30.75" customHeight="1">
      <c r="A34" s="243"/>
      <c r="B34" s="244"/>
      <c r="C34" s="262"/>
      <c r="D34" s="226" t="s">
        <v>159</v>
      </c>
      <c r="E34" s="125">
        <f>2000-500</f>
        <v>1500</v>
      </c>
      <c r="F34" s="91" t="s">
        <v>30</v>
      </c>
      <c r="G34" s="237" t="s">
        <v>397</v>
      </c>
      <c r="H34" s="92" t="str">
        <f>M34</f>
        <v>მე-10(1) მუხლ. მე-3 პუნქ. ”ვ” ქვეპ.</v>
      </c>
      <c r="I34" s="48" t="s">
        <v>588</v>
      </c>
      <c r="J34" s="45">
        <v>13</v>
      </c>
      <c r="K34" s="115"/>
      <c r="L34" s="21">
        <v>2020</v>
      </c>
      <c r="M34" s="56" t="s">
        <v>83</v>
      </c>
      <c r="N34" s="47" t="str">
        <f>VLOOKUP(P34,budget!$A$2:$C$96,3,0)</f>
        <v>საკრებულო</v>
      </c>
      <c r="O34" s="66"/>
      <c r="P34" s="46" t="s">
        <v>343</v>
      </c>
      <c r="Q34" s="47" t="str">
        <f>VLOOKUP(P34,budget!$A$2:$B$96,2,0)</f>
        <v>ქალაქ ბათუმის მუნიციპალიტეტის საკრებულო</v>
      </c>
      <c r="R34" s="154"/>
      <c r="S34" s="133"/>
      <c r="T34" s="113">
        <f t="shared" si="0"/>
        <v>0</v>
      </c>
      <c r="U34" s="113"/>
      <c r="V34" s="113"/>
      <c r="W34" s="113"/>
      <c r="X34" s="78"/>
      <c r="Y34" s="28" t="str">
        <f t="shared" si="1"/>
        <v>-</v>
      </c>
      <c r="Z34" s="29"/>
    </row>
    <row r="35" spans="1:26" ht="36" customHeight="1">
      <c r="A35" s="243"/>
      <c r="B35" s="244"/>
      <c r="C35" s="262"/>
      <c r="D35" s="226" t="s">
        <v>373</v>
      </c>
      <c r="E35" s="125">
        <f>660-110</f>
        <v>550</v>
      </c>
      <c r="F35" s="91" t="s">
        <v>24</v>
      </c>
      <c r="G35" s="237" t="s">
        <v>397</v>
      </c>
      <c r="H35" s="92">
        <f>M35</f>
        <v>0</v>
      </c>
      <c r="I35" s="48" t="s">
        <v>679</v>
      </c>
      <c r="J35" s="45">
        <v>18</v>
      </c>
      <c r="K35" s="115"/>
      <c r="L35" s="21">
        <v>2020</v>
      </c>
      <c r="M35" s="56"/>
      <c r="N35" s="47" t="str">
        <f>VLOOKUP(P35,budget!$A$2:$C$96,3,0)</f>
        <v>ახალგაზ. და სპორტი</v>
      </c>
      <c r="O35" s="66" t="s">
        <v>55</v>
      </c>
      <c r="P35" s="46" t="s">
        <v>329</v>
      </c>
      <c r="Q35" s="47" t="str">
        <f>VLOOKUP(P35,budget!$A$2:$B$96,2,0)</f>
        <v>ინტელექტუალური და შემეცნებითი პროექტების მხარდაჭერა</v>
      </c>
      <c r="R35" s="139"/>
      <c r="S35" s="133">
        <v>51</v>
      </c>
      <c r="T35" s="113">
        <f t="shared" si="0"/>
        <v>549</v>
      </c>
      <c r="U35" s="113"/>
      <c r="V35" s="113">
        <v>549</v>
      </c>
      <c r="W35" s="113"/>
      <c r="X35" s="78" t="s">
        <v>539</v>
      </c>
      <c r="Y35" s="28">
        <f t="shared" si="1"/>
        <v>1</v>
      </c>
      <c r="Z35" s="29"/>
    </row>
    <row r="36" spans="1:26" ht="37.5" customHeight="1">
      <c r="A36" s="238">
        <v>11</v>
      </c>
      <c r="B36" s="237">
        <v>22100000</v>
      </c>
      <c r="C36" s="229" t="s">
        <v>374</v>
      </c>
      <c r="D36" s="226" t="s">
        <v>375</v>
      </c>
      <c r="E36" s="125">
        <f>5340-1971</f>
        <v>3369</v>
      </c>
      <c r="F36" s="91" t="s">
        <v>24</v>
      </c>
      <c r="G36" s="237" t="s">
        <v>397</v>
      </c>
      <c r="H36" s="157">
        <f>M36</f>
        <v>0</v>
      </c>
      <c r="I36" s="158" t="s">
        <v>681</v>
      </c>
      <c r="J36" s="45">
        <v>18</v>
      </c>
      <c r="K36" s="118"/>
      <c r="L36" s="53">
        <v>2020</v>
      </c>
      <c r="M36" s="56"/>
      <c r="N36" s="47" t="str">
        <f>VLOOKUP(P36,budget!$A$2:$C$96,3,0)</f>
        <v>ახალგაზ. და სპორტი</v>
      </c>
      <c r="O36" s="66" t="s">
        <v>55</v>
      </c>
      <c r="P36" s="46" t="s">
        <v>329</v>
      </c>
      <c r="Q36" s="47" t="str">
        <f>VLOOKUP(P36,budget!$A$2:$B$96,2,0)</f>
        <v>ინტელექტუალური და შემეცნებითი პროექტების მხარდაჭერა</v>
      </c>
      <c r="R36" s="50"/>
      <c r="S36" s="112">
        <v>63</v>
      </c>
      <c r="T36" s="113">
        <f t="shared" si="0"/>
        <v>3369</v>
      </c>
      <c r="U36" s="113"/>
      <c r="V36" s="113">
        <v>3369</v>
      </c>
      <c r="W36" s="113"/>
      <c r="X36" s="78" t="s">
        <v>548</v>
      </c>
      <c r="Y36" s="28">
        <f t="shared" si="1"/>
        <v>0</v>
      </c>
      <c r="Z36" s="29"/>
    </row>
    <row r="37" spans="1:26" ht="33.75" customHeight="1">
      <c r="A37" s="238">
        <v>12</v>
      </c>
      <c r="B37" s="237">
        <v>22200000</v>
      </c>
      <c r="C37" s="236" t="s">
        <v>413</v>
      </c>
      <c r="D37" s="226" t="s">
        <v>11</v>
      </c>
      <c r="E37" s="169">
        <f>1000-15</f>
        <v>985</v>
      </c>
      <c r="F37" s="142" t="s">
        <v>30</v>
      </c>
      <c r="G37" s="237" t="s">
        <v>397</v>
      </c>
      <c r="H37" s="145" t="str">
        <f>M37</f>
        <v>მე-3 მუხ. 1-ლი პუნქ. "ს" ქვეპუნ.</v>
      </c>
      <c r="I37" s="48" t="s">
        <v>589</v>
      </c>
      <c r="J37" s="45">
        <v>13</v>
      </c>
      <c r="K37" s="115"/>
      <c r="L37" s="21">
        <v>2020</v>
      </c>
      <c r="M37" s="56" t="s">
        <v>31</v>
      </c>
      <c r="N37" s="47" t="str">
        <f>VLOOKUP(P37,budget!$A$2:$C$96,3,0)</f>
        <v>საკრებულო</v>
      </c>
      <c r="O37" s="66"/>
      <c r="P37" s="46" t="s">
        <v>343</v>
      </c>
      <c r="Q37" s="47" t="str">
        <f>VLOOKUP(P37,budget!$A$2:$B$96,2,0)</f>
        <v>ქალაქ ბათუმის მუნიციპალიტეტის საკრებულო</v>
      </c>
      <c r="R37" s="139"/>
      <c r="S37" s="205">
        <v>2</v>
      </c>
      <c r="T37" s="206">
        <f t="shared" si="0"/>
        <v>985</v>
      </c>
      <c r="U37" s="206"/>
      <c r="V37" s="206">
        <v>985</v>
      </c>
      <c r="W37" s="206"/>
      <c r="X37" s="210" t="s">
        <v>450</v>
      </c>
      <c r="Y37" s="28">
        <f t="shared" si="1"/>
        <v>0</v>
      </c>
      <c r="Z37" s="29"/>
    </row>
    <row r="38" spans="1:26" ht="36" customHeight="1">
      <c r="A38" s="238">
        <v>13</v>
      </c>
      <c r="B38" s="237">
        <v>22300000</v>
      </c>
      <c r="C38" s="236" t="s">
        <v>346</v>
      </c>
      <c r="D38" s="226" t="s">
        <v>346</v>
      </c>
      <c r="E38" s="125">
        <f>500-200-150</f>
        <v>150</v>
      </c>
      <c r="F38" s="91" t="s">
        <v>30</v>
      </c>
      <c r="G38" s="144" t="s">
        <v>394</v>
      </c>
      <c r="H38" s="92" t="str">
        <f>M38</f>
        <v>მე-3 მუხ. 1-ლი პუნქ. "ს" ქვეპუნ.</v>
      </c>
      <c r="I38" s="48" t="s">
        <v>484</v>
      </c>
      <c r="J38" s="45">
        <v>13</v>
      </c>
      <c r="K38" s="115"/>
      <c r="L38" s="21">
        <v>2020</v>
      </c>
      <c r="M38" s="56" t="s">
        <v>31</v>
      </c>
      <c r="N38" s="47" t="str">
        <f>VLOOKUP(P38,budget!$A$2:$C$96,3,0)</f>
        <v>საკრებულო</v>
      </c>
      <c r="O38" s="51"/>
      <c r="P38" s="46" t="s">
        <v>343</v>
      </c>
      <c r="Q38" s="47" t="str">
        <f>VLOOKUP(P38,budget!$A$2:$B$96,2,0)</f>
        <v>ქალაქ ბათუმის მუნიციპალიტეტის საკრებულო</v>
      </c>
      <c r="R38" s="139"/>
      <c r="S38" s="133"/>
      <c r="T38" s="113">
        <f t="shared" si="0"/>
        <v>0</v>
      </c>
      <c r="U38" s="113"/>
      <c r="V38" s="113"/>
      <c r="W38" s="113"/>
      <c r="X38" s="78"/>
      <c r="Y38" s="28" t="str">
        <f t="shared" si="1"/>
        <v>-</v>
      </c>
      <c r="Z38" s="29"/>
    </row>
    <row r="39" spans="1:26" ht="50.25" customHeight="1">
      <c r="A39" s="238">
        <v>14</v>
      </c>
      <c r="B39" s="237">
        <v>22400000</v>
      </c>
      <c r="C39" s="239" t="s">
        <v>36</v>
      </c>
      <c r="D39" s="226" t="s">
        <v>148</v>
      </c>
      <c r="E39" s="125">
        <v>8000</v>
      </c>
      <c r="F39" s="91" t="s">
        <v>24</v>
      </c>
      <c r="G39" s="237" t="s">
        <v>394</v>
      </c>
      <c r="H39" s="92"/>
      <c r="I39" s="48"/>
      <c r="J39" s="45"/>
      <c r="K39" s="116"/>
      <c r="L39" s="21">
        <v>2020</v>
      </c>
      <c r="M39" s="44"/>
      <c r="N39" s="47" t="str">
        <f>VLOOKUP(P39,budget!$A$2:$C$96,3,0)</f>
        <v>აპარატი - მატერ-ტექნიკ.</v>
      </c>
      <c r="O39" s="51"/>
      <c r="P39" s="46" t="s">
        <v>239</v>
      </c>
      <c r="Q39" s="47" t="str">
        <f>VLOOKUP(P39,budget!$A$2:$B$96,2,0)</f>
        <v>ქალაქ ბათუმის მუნიციპალიტეტის მერია</v>
      </c>
      <c r="R39" s="50"/>
      <c r="S39" s="112"/>
      <c r="T39" s="113">
        <f t="shared" si="0"/>
        <v>0</v>
      </c>
      <c r="U39" s="113"/>
      <c r="V39" s="113"/>
      <c r="W39" s="113"/>
      <c r="X39" s="78"/>
      <c r="Y39" s="28" t="str">
        <f t="shared" si="1"/>
        <v>-</v>
      </c>
      <c r="Z39" s="29"/>
    </row>
    <row r="40" spans="1:26" ht="30" customHeight="1">
      <c r="A40" s="244">
        <v>15</v>
      </c>
      <c r="B40" s="244">
        <v>22800000</v>
      </c>
      <c r="C40" s="247" t="s">
        <v>5</v>
      </c>
      <c r="D40" s="226" t="s">
        <v>22</v>
      </c>
      <c r="E40" s="125">
        <f>10000-910</f>
        <v>9090</v>
      </c>
      <c r="F40" s="91" t="s">
        <v>24</v>
      </c>
      <c r="G40" s="237" t="s">
        <v>394</v>
      </c>
      <c r="H40" s="92"/>
      <c r="I40" s="134" t="s">
        <v>677</v>
      </c>
      <c r="J40" s="45">
        <v>18</v>
      </c>
      <c r="K40" s="118"/>
      <c r="L40" s="21">
        <v>2020</v>
      </c>
      <c r="M40" s="44"/>
      <c r="N40" s="47" t="str">
        <f>VLOOKUP(P40,budget!$A$2:$C$96,3,0)</f>
        <v>აპარატი - მატერ-ტექნიკ.</v>
      </c>
      <c r="O40" s="66" t="s">
        <v>55</v>
      </c>
      <c r="P40" s="46" t="s">
        <v>239</v>
      </c>
      <c r="Q40" s="47" t="str">
        <f>VLOOKUP(P40,budget!$A$2:$B$96,2,0)</f>
        <v>ქალაქ ბათუმის მუნიციპალიტეტის მერია</v>
      </c>
      <c r="R40" s="50"/>
      <c r="S40" s="208">
        <v>41</v>
      </c>
      <c r="T40" s="113">
        <f t="shared" si="0"/>
        <v>9090</v>
      </c>
      <c r="U40" s="209"/>
      <c r="V40" s="209">
        <v>9090</v>
      </c>
      <c r="W40" s="209"/>
      <c r="X40" s="207" t="s">
        <v>508</v>
      </c>
      <c r="Y40" s="28">
        <f t="shared" si="1"/>
        <v>0</v>
      </c>
      <c r="Z40" s="29"/>
    </row>
    <row r="41" spans="1:26" ht="29.25" customHeight="1">
      <c r="A41" s="244"/>
      <c r="B41" s="244"/>
      <c r="C41" s="247"/>
      <c r="D41" s="226" t="s">
        <v>22</v>
      </c>
      <c r="E41" s="125"/>
      <c r="F41" s="91" t="s">
        <v>24</v>
      </c>
      <c r="G41" s="237" t="s">
        <v>397</v>
      </c>
      <c r="H41" s="92"/>
      <c r="I41" s="48" t="s">
        <v>600</v>
      </c>
      <c r="J41" s="45">
        <v>22</v>
      </c>
      <c r="K41" s="115"/>
      <c r="L41" s="21">
        <v>2020</v>
      </c>
      <c r="M41" s="49"/>
      <c r="N41" s="47" t="str">
        <f>VLOOKUP(P41,budget!$A$2:$C$96,3,0)</f>
        <v>საკრებულო</v>
      </c>
      <c r="O41" s="66"/>
      <c r="P41" s="46" t="s">
        <v>343</v>
      </c>
      <c r="Q41" s="47" t="str">
        <f>VLOOKUP(P41,budget!$A$2:$B$96,2,0)</f>
        <v>ქალაქ ბათუმის მუნიციპალიტეტის საკრებულო</v>
      </c>
      <c r="R41" s="139"/>
      <c r="S41" s="133"/>
      <c r="T41" s="113">
        <f t="shared" si="0"/>
        <v>0</v>
      </c>
      <c r="U41" s="113"/>
      <c r="V41" s="113"/>
      <c r="W41" s="113"/>
      <c r="X41" s="78"/>
      <c r="Y41" s="28" t="str">
        <f t="shared" si="1"/>
        <v>-</v>
      </c>
      <c r="Z41" s="29"/>
    </row>
    <row r="42" spans="1:26" ht="25.5" customHeight="1">
      <c r="A42" s="243">
        <v>16</v>
      </c>
      <c r="B42" s="244">
        <v>30100000</v>
      </c>
      <c r="C42" s="246" t="s">
        <v>8</v>
      </c>
      <c r="D42" s="226" t="s">
        <v>9</v>
      </c>
      <c r="E42" s="125">
        <f>10000-1113</f>
        <v>8887</v>
      </c>
      <c r="F42" s="91" t="s">
        <v>24</v>
      </c>
      <c r="G42" s="237" t="s">
        <v>394</v>
      </c>
      <c r="H42" s="92"/>
      <c r="I42" s="96" t="s">
        <v>675</v>
      </c>
      <c r="J42" s="45">
        <v>18</v>
      </c>
      <c r="K42" s="118"/>
      <c r="L42" s="21">
        <v>2020</v>
      </c>
      <c r="M42" s="44"/>
      <c r="N42" s="47" t="str">
        <f>VLOOKUP(P42,budget!$A$2:$C$96,3,0)</f>
        <v>აპარატი - მატერ-ტექნიკ.</v>
      </c>
      <c r="O42" s="66" t="s">
        <v>55</v>
      </c>
      <c r="P42" s="46" t="s">
        <v>239</v>
      </c>
      <c r="Q42" s="47" t="str">
        <f>VLOOKUP(P42,budget!$A$2:$B$96,2,0)</f>
        <v>ქალაქ ბათუმის მუნიციპალიტეტის მერია</v>
      </c>
      <c r="R42" s="50"/>
      <c r="S42" s="208">
        <v>40</v>
      </c>
      <c r="T42" s="113">
        <f t="shared" si="0"/>
        <v>8887</v>
      </c>
      <c r="U42" s="209"/>
      <c r="V42" s="209">
        <v>8887</v>
      </c>
      <c r="W42" s="209"/>
      <c r="X42" s="207" t="s">
        <v>507</v>
      </c>
      <c r="Y42" s="28">
        <f t="shared" si="1"/>
        <v>0</v>
      </c>
      <c r="Z42" s="29"/>
    </row>
    <row r="43" spans="1:26" ht="29.25" customHeight="1">
      <c r="A43" s="243"/>
      <c r="B43" s="244"/>
      <c r="C43" s="246"/>
      <c r="D43" s="226" t="s">
        <v>9</v>
      </c>
      <c r="E43" s="125"/>
      <c r="F43" s="91" t="s">
        <v>24</v>
      </c>
      <c r="G43" s="237" t="s">
        <v>397</v>
      </c>
      <c r="H43" s="92"/>
      <c r="I43" s="48" t="s">
        <v>586</v>
      </c>
      <c r="J43" s="45">
        <v>22</v>
      </c>
      <c r="K43" s="115"/>
      <c r="L43" s="21">
        <v>2020</v>
      </c>
      <c r="M43" s="49"/>
      <c r="N43" s="47" t="str">
        <f>VLOOKUP(P43,budget!$A$2:$C$96,3,0)</f>
        <v>საკრებულო</v>
      </c>
      <c r="O43" s="66"/>
      <c r="P43" s="46" t="s">
        <v>343</v>
      </c>
      <c r="Q43" s="47" t="str">
        <f>VLOOKUP(P43,budget!$A$2:$B$96,2,0)</f>
        <v>ქალაქ ბათუმის მუნიციპალიტეტის საკრებულო</v>
      </c>
      <c r="R43" s="139"/>
      <c r="S43" s="133"/>
      <c r="T43" s="113">
        <f t="shared" si="0"/>
        <v>0</v>
      </c>
      <c r="U43" s="113"/>
      <c r="V43" s="113"/>
      <c r="W43" s="113"/>
      <c r="X43" s="78"/>
      <c r="Y43" s="28" t="str">
        <f t="shared" si="1"/>
        <v>-</v>
      </c>
      <c r="Z43" s="29"/>
    </row>
    <row r="44" spans="1:26" ht="24">
      <c r="A44" s="243"/>
      <c r="B44" s="244"/>
      <c r="C44" s="246"/>
      <c r="D44" s="226" t="s">
        <v>96</v>
      </c>
      <c r="E44" s="125">
        <v>22000</v>
      </c>
      <c r="F44" s="137" t="s">
        <v>106</v>
      </c>
      <c r="G44" s="237" t="s">
        <v>397</v>
      </c>
      <c r="H44" s="92"/>
      <c r="I44" s="171"/>
      <c r="J44" s="172"/>
      <c r="K44" s="118"/>
      <c r="L44" s="21">
        <v>2020</v>
      </c>
      <c r="M44" s="44"/>
      <c r="N44" s="47" t="str">
        <f>VLOOKUP(P44,budget!$A$2:$C$96,3,0)</f>
        <v>აპარატი - მატერ-ტექნიკ.</v>
      </c>
      <c r="O44" s="51"/>
      <c r="P44" s="46" t="s">
        <v>239</v>
      </c>
      <c r="Q44" s="47" t="str">
        <f>VLOOKUP(P44,budget!$A$2:$B$96,2,0)</f>
        <v>ქალაქ ბათუმის მუნიციპალიტეტის მერია</v>
      </c>
      <c r="R44" s="50"/>
      <c r="S44" s="208" t="s">
        <v>690</v>
      </c>
      <c r="T44" s="113">
        <f t="shared" si="0"/>
        <v>11398.029999999999</v>
      </c>
      <c r="U44" s="209"/>
      <c r="V44" s="209">
        <f>6223.03+2670+2505</f>
        <v>11398.029999999999</v>
      </c>
      <c r="W44" s="209"/>
      <c r="X44" s="207" t="s">
        <v>625</v>
      </c>
      <c r="Y44" s="28">
        <f t="shared" si="1"/>
        <v>10601.970000000001</v>
      </c>
      <c r="Z44" s="29"/>
    </row>
    <row r="45" spans="1:26" ht="25.5" customHeight="1">
      <c r="A45" s="243"/>
      <c r="B45" s="244"/>
      <c r="C45" s="246"/>
      <c r="D45" s="226" t="s">
        <v>96</v>
      </c>
      <c r="E45" s="125">
        <f>3000+1300</f>
        <v>4300</v>
      </c>
      <c r="F45" s="137" t="s">
        <v>106</v>
      </c>
      <c r="G45" s="237" t="s">
        <v>397</v>
      </c>
      <c r="H45" s="92"/>
      <c r="I45" s="68" t="s">
        <v>633</v>
      </c>
      <c r="J45" s="45">
        <v>16</v>
      </c>
      <c r="K45" s="118"/>
      <c r="L45" s="21">
        <v>2020</v>
      </c>
      <c r="M45" s="44"/>
      <c r="N45" s="47" t="str">
        <f>VLOOKUP(P45,budget!$A$2:$C$96,3,0)</f>
        <v>საკრებულო</v>
      </c>
      <c r="O45" s="51"/>
      <c r="P45" s="46" t="s">
        <v>343</v>
      </c>
      <c r="Q45" s="47" t="str">
        <f>VLOOKUP(P45,budget!$A$2:$B$96,2,0)</f>
        <v>ქალაქ ბათუმის მუნიციპალიტეტის საკრებულო</v>
      </c>
      <c r="R45" s="50"/>
      <c r="S45" s="112" t="s">
        <v>642</v>
      </c>
      <c r="T45" s="113">
        <f t="shared" si="0"/>
        <v>4295.33</v>
      </c>
      <c r="U45" s="113"/>
      <c r="V45" s="113">
        <f>2995.93+1299.4</f>
        <v>4295.33</v>
      </c>
      <c r="W45" s="113"/>
      <c r="X45" s="78" t="s">
        <v>643</v>
      </c>
      <c r="Y45" s="28">
        <f t="shared" si="1"/>
        <v>4.6700000000000728</v>
      </c>
      <c r="Z45" s="29"/>
    </row>
    <row r="46" spans="1:26" ht="25.5" customHeight="1">
      <c r="A46" s="243"/>
      <c r="B46" s="244"/>
      <c r="C46" s="246"/>
      <c r="D46" s="226" t="s">
        <v>10</v>
      </c>
      <c r="E46" s="169">
        <f>20000-12300+12300-5255</f>
        <v>14745</v>
      </c>
      <c r="F46" s="142" t="s">
        <v>24</v>
      </c>
      <c r="G46" s="144" t="s">
        <v>394</v>
      </c>
      <c r="H46" s="145"/>
      <c r="I46" s="134" t="s">
        <v>676</v>
      </c>
      <c r="J46" s="45">
        <v>18</v>
      </c>
      <c r="K46" s="118"/>
      <c r="L46" s="21">
        <v>2020</v>
      </c>
      <c r="M46" s="44"/>
      <c r="N46" s="47" t="str">
        <f>VLOOKUP(P46,budget!$A$2:$C$96,3,0)</f>
        <v>აპარატი - მატერ-ტექნიკ.</v>
      </c>
      <c r="O46" s="66" t="s">
        <v>55</v>
      </c>
      <c r="P46" s="46" t="s">
        <v>239</v>
      </c>
      <c r="Q46" s="47" t="str">
        <f>VLOOKUP(P46,budget!$A$2:$B$96,2,0)</f>
        <v>ქალაქ ბათუმის მუნიციპალიტეტის მერია</v>
      </c>
      <c r="R46" s="50"/>
      <c r="S46" s="208">
        <v>42</v>
      </c>
      <c r="T46" s="113">
        <f t="shared" si="0"/>
        <v>14745</v>
      </c>
      <c r="U46" s="209"/>
      <c r="V46" s="209">
        <v>14745</v>
      </c>
      <c r="W46" s="209"/>
      <c r="X46" s="207" t="s">
        <v>509</v>
      </c>
      <c r="Y46" s="28">
        <f t="shared" si="1"/>
        <v>0</v>
      </c>
      <c r="Z46" s="29"/>
    </row>
    <row r="47" spans="1:26" ht="25.5" customHeight="1">
      <c r="A47" s="243"/>
      <c r="B47" s="244"/>
      <c r="C47" s="246"/>
      <c r="D47" s="226" t="s">
        <v>717</v>
      </c>
      <c r="E47" s="169">
        <f>250+250</f>
        <v>500</v>
      </c>
      <c r="F47" s="142" t="s">
        <v>30</v>
      </c>
      <c r="G47" s="144" t="s">
        <v>710</v>
      </c>
      <c r="H47" s="92" t="str">
        <f>M47</f>
        <v>მე-10(1) მუხლ. მე-3 პუნქ. ”ზ” ქვეპ.</v>
      </c>
      <c r="I47" s="134" t="s">
        <v>721</v>
      </c>
      <c r="J47" s="45">
        <v>23</v>
      </c>
      <c r="K47" s="118"/>
      <c r="L47" s="21">
        <v>2020</v>
      </c>
      <c r="M47" s="44" t="s">
        <v>63</v>
      </c>
      <c r="N47" s="47" t="str">
        <f>VLOOKUP(P47,budget!$A$2:$C$96,3,0)</f>
        <v>საკრებულო</v>
      </c>
      <c r="O47" s="66"/>
      <c r="P47" s="46" t="s">
        <v>343</v>
      </c>
      <c r="Q47" s="47" t="str">
        <f>VLOOKUP(P47,budget!$A$2:$B$96,2,0)</f>
        <v>ქალაქ ბათუმის მუნიციპალიტეტის საკრებულო</v>
      </c>
      <c r="R47" s="50"/>
      <c r="S47" s="208"/>
      <c r="T47" s="113"/>
      <c r="U47" s="209"/>
      <c r="V47" s="209"/>
      <c r="W47" s="209"/>
      <c r="X47" s="207"/>
      <c r="Y47" s="28"/>
      <c r="Z47" s="29"/>
    </row>
    <row r="48" spans="1:26" ht="25.5" customHeight="1">
      <c r="A48" s="243"/>
      <c r="B48" s="244"/>
      <c r="C48" s="246"/>
      <c r="D48" s="226" t="s">
        <v>717</v>
      </c>
      <c r="E48" s="169">
        <v>250</v>
      </c>
      <c r="F48" s="142" t="s">
        <v>30</v>
      </c>
      <c r="G48" s="144" t="s">
        <v>710</v>
      </c>
      <c r="H48" s="92" t="str">
        <f>M48</f>
        <v>მე-10(1) მუხლ. მე-3 პუნქ. ”ზ” ქვეპ.</v>
      </c>
      <c r="I48" s="134" t="s">
        <v>435</v>
      </c>
      <c r="J48" s="45">
        <v>23</v>
      </c>
      <c r="K48" s="118"/>
      <c r="L48" s="21">
        <v>2020</v>
      </c>
      <c r="M48" s="44" t="s">
        <v>63</v>
      </c>
      <c r="N48" s="47" t="str">
        <f>VLOOKUP(P48,budget!$A$2:$C$96,3,0)</f>
        <v>აპარატი - მატერ-ტექნიკ.</v>
      </c>
      <c r="O48" s="66"/>
      <c r="P48" s="46" t="s">
        <v>239</v>
      </c>
      <c r="Q48" s="47" t="str">
        <f>VLOOKUP(P48,budget!$A$2:$B$96,2,0)</f>
        <v>ქალაქ ბათუმის მუნიციპალიტეტის მერია</v>
      </c>
      <c r="R48" s="50"/>
      <c r="S48" s="208"/>
      <c r="T48" s="113"/>
      <c r="U48" s="209"/>
      <c r="V48" s="209"/>
      <c r="W48" s="209"/>
      <c r="X48" s="207"/>
      <c r="Y48" s="28"/>
      <c r="Z48" s="29"/>
    </row>
    <row r="49" spans="1:26" ht="25.5" customHeight="1">
      <c r="A49" s="243"/>
      <c r="B49" s="244"/>
      <c r="C49" s="246"/>
      <c r="D49" s="226" t="s">
        <v>10</v>
      </c>
      <c r="E49" s="125">
        <f>5000-2000</f>
        <v>3000</v>
      </c>
      <c r="F49" s="91" t="s">
        <v>24</v>
      </c>
      <c r="G49" s="237" t="s">
        <v>397</v>
      </c>
      <c r="H49" s="92"/>
      <c r="I49" s="48"/>
      <c r="J49" s="45"/>
      <c r="K49" s="115"/>
      <c r="L49" s="21">
        <v>2020</v>
      </c>
      <c r="M49" s="49"/>
      <c r="N49" s="47" t="str">
        <f>VLOOKUP(P49,budget!$A$2:$C$96,3,0)</f>
        <v>საკრებულო</v>
      </c>
      <c r="O49" s="66"/>
      <c r="P49" s="46" t="s">
        <v>343</v>
      </c>
      <c r="Q49" s="47" t="str">
        <f>VLOOKUP(P49,budget!$A$2:$B$96,2,0)</f>
        <v>ქალაქ ბათუმის მუნიციპალიტეტის საკრებულო</v>
      </c>
      <c r="R49" s="175"/>
      <c r="S49" s="133"/>
      <c r="T49" s="113">
        <f t="shared" si="0"/>
        <v>0</v>
      </c>
      <c r="U49" s="113"/>
      <c r="V49" s="113"/>
      <c r="W49" s="113"/>
      <c r="X49" s="78"/>
      <c r="Y49" s="28" t="str">
        <f t="shared" si="1"/>
        <v>-</v>
      </c>
      <c r="Z49" s="29"/>
    </row>
    <row r="50" spans="1:26" ht="25.5" customHeight="1">
      <c r="A50" s="243"/>
      <c r="B50" s="244"/>
      <c r="C50" s="246"/>
      <c r="D50" s="226" t="s">
        <v>10</v>
      </c>
      <c r="E50" s="125">
        <v>2240</v>
      </c>
      <c r="F50" s="91" t="s">
        <v>106</v>
      </c>
      <c r="G50" s="161" t="s">
        <v>400</v>
      </c>
      <c r="H50" s="92"/>
      <c r="I50" s="48" t="s">
        <v>435</v>
      </c>
      <c r="J50" s="45">
        <v>20</v>
      </c>
      <c r="K50" s="115"/>
      <c r="L50" s="21">
        <v>2020</v>
      </c>
      <c r="M50" s="49"/>
      <c r="N50" s="47" t="str">
        <f>VLOOKUP(P50,budget!$A$2:$C$96,3,0)</f>
        <v>საკრებულო</v>
      </c>
      <c r="O50" s="66"/>
      <c r="P50" s="46" t="s">
        <v>343</v>
      </c>
      <c r="Q50" s="47" t="str">
        <f>VLOOKUP(P50,budget!$A$2:$B$96,2,0)</f>
        <v>ქალაქ ბათუმის მუნიციპალიტეტის საკრებულო</v>
      </c>
      <c r="R50" s="176"/>
      <c r="S50" s="133"/>
      <c r="T50" s="113">
        <f t="shared" ref="T50" si="8">SUBTOTAL(9,U50:W50)</f>
        <v>0</v>
      </c>
      <c r="U50" s="113"/>
      <c r="V50" s="113"/>
      <c r="W50" s="113"/>
      <c r="X50" s="78"/>
      <c r="Y50" s="28" t="str">
        <f t="shared" ref="Y50" si="9">IF(V50=0,"-",E50-V50)</f>
        <v>-</v>
      </c>
      <c r="Z50" s="29"/>
    </row>
    <row r="51" spans="1:26" ht="29.25" customHeight="1">
      <c r="A51" s="243"/>
      <c r="B51" s="244"/>
      <c r="C51" s="246"/>
      <c r="D51" s="226" t="s">
        <v>10</v>
      </c>
      <c r="E51" s="125">
        <v>1000</v>
      </c>
      <c r="F51" s="91" t="s">
        <v>106</v>
      </c>
      <c r="G51" s="237" t="s">
        <v>397</v>
      </c>
      <c r="H51" s="92"/>
      <c r="I51" s="48"/>
      <c r="J51" s="45"/>
      <c r="K51" s="115"/>
      <c r="L51" s="21">
        <v>2020</v>
      </c>
      <c r="M51" s="49"/>
      <c r="N51" s="47" t="str">
        <f>VLOOKUP(P51,budget!$A$2:$C$96,3,0)</f>
        <v>საკრებულო</v>
      </c>
      <c r="O51" s="66"/>
      <c r="P51" s="46" t="s">
        <v>343</v>
      </c>
      <c r="Q51" s="47" t="str">
        <f>VLOOKUP(P51,budget!$A$2:$B$96,2,0)</f>
        <v>ქალაქ ბათუმის მუნიციპალიტეტის საკრებულო</v>
      </c>
      <c r="R51" s="139"/>
      <c r="S51" s="133" t="s">
        <v>698</v>
      </c>
      <c r="T51" s="113">
        <f t="shared" si="0"/>
        <v>993.96</v>
      </c>
      <c r="U51" s="113"/>
      <c r="V51" s="113">
        <f>471.96+522</f>
        <v>993.96</v>
      </c>
      <c r="W51" s="113"/>
      <c r="X51" s="78" t="s">
        <v>699</v>
      </c>
      <c r="Y51" s="28">
        <f t="shared" si="1"/>
        <v>6.0399999999999636</v>
      </c>
      <c r="Z51" s="29"/>
    </row>
    <row r="52" spans="1:26" ht="25.5" customHeight="1">
      <c r="A52" s="243">
        <v>17</v>
      </c>
      <c r="B52" s="244">
        <v>30200000</v>
      </c>
      <c r="C52" s="246" t="s">
        <v>361</v>
      </c>
      <c r="D52" s="226" t="s">
        <v>98</v>
      </c>
      <c r="E52" s="125">
        <v>15000</v>
      </c>
      <c r="F52" s="91" t="s">
        <v>106</v>
      </c>
      <c r="G52" s="237" t="s">
        <v>398</v>
      </c>
      <c r="H52" s="92"/>
      <c r="I52" s="134"/>
      <c r="J52" s="45"/>
      <c r="K52" s="118"/>
      <c r="L52" s="21">
        <v>2020</v>
      </c>
      <c r="M52" s="44"/>
      <c r="N52" s="47" t="str">
        <f>VLOOKUP(P52,budget!$A$2:$C$96,3,0)</f>
        <v>აპარატი - IT</v>
      </c>
      <c r="O52" s="51"/>
      <c r="P52" s="46" t="s">
        <v>240</v>
      </c>
      <c r="Q52" s="47" t="str">
        <f>VLOOKUP(P52,budget!$A$2:$B$96,2,0)</f>
        <v>ქალაქ ბათუმის მუნიციპალიტეტის მერია</v>
      </c>
      <c r="R52" s="50"/>
      <c r="S52" s="112"/>
      <c r="T52" s="113">
        <f t="shared" si="0"/>
        <v>0</v>
      </c>
      <c r="U52" s="113"/>
      <c r="V52" s="113"/>
      <c r="W52" s="113"/>
      <c r="X52" s="78"/>
      <c r="Y52" s="28" t="str">
        <f t="shared" si="1"/>
        <v>-</v>
      </c>
      <c r="Z52" s="29"/>
    </row>
    <row r="53" spans="1:26" ht="24" customHeight="1">
      <c r="A53" s="243"/>
      <c r="B53" s="244"/>
      <c r="C53" s="246"/>
      <c r="D53" s="226" t="s">
        <v>399</v>
      </c>
      <c r="E53" s="125">
        <v>1500</v>
      </c>
      <c r="F53" s="91" t="s">
        <v>24</v>
      </c>
      <c r="G53" s="161" t="s">
        <v>400</v>
      </c>
      <c r="H53" s="92"/>
      <c r="I53" s="134" t="s">
        <v>448</v>
      </c>
      <c r="J53" s="45"/>
      <c r="K53" s="118"/>
      <c r="L53" s="21">
        <v>2020</v>
      </c>
      <c r="M53" s="44"/>
      <c r="N53" s="47" t="str">
        <f>VLOOKUP(P53,budget!$A$2:$C$96,3,0)</f>
        <v>აპარატი - მატერ-ტექნიკ.</v>
      </c>
      <c r="O53" s="51"/>
      <c r="P53" s="46" t="s">
        <v>239</v>
      </c>
      <c r="Q53" s="47" t="str">
        <f>VLOOKUP(P53,budget!$A$2:$B$96,2,0)</f>
        <v>ქალაქ ბათუმის მუნიციპალიტეტის მერია</v>
      </c>
      <c r="R53" s="50"/>
      <c r="S53" s="112"/>
      <c r="T53" s="113">
        <f t="shared" si="0"/>
        <v>0</v>
      </c>
      <c r="U53" s="113"/>
      <c r="V53" s="113"/>
      <c r="W53" s="113"/>
      <c r="X53" s="78"/>
      <c r="Y53" s="28" t="str">
        <f t="shared" si="1"/>
        <v>-</v>
      </c>
      <c r="Z53" s="29"/>
    </row>
    <row r="54" spans="1:26" ht="29.25" customHeight="1">
      <c r="A54" s="243"/>
      <c r="B54" s="244"/>
      <c r="C54" s="246"/>
      <c r="D54" s="226" t="s">
        <v>98</v>
      </c>
      <c r="E54" s="125">
        <f>8000-2000</f>
        <v>6000</v>
      </c>
      <c r="F54" s="91" t="s">
        <v>106</v>
      </c>
      <c r="G54" s="237" t="s">
        <v>398</v>
      </c>
      <c r="H54" s="92"/>
      <c r="I54" s="48" t="s">
        <v>590</v>
      </c>
      <c r="J54" s="45">
        <v>13</v>
      </c>
      <c r="K54" s="115"/>
      <c r="L54" s="21">
        <v>2020</v>
      </c>
      <c r="M54" s="49"/>
      <c r="N54" s="47" t="str">
        <f>VLOOKUP(P54,budget!$A$2:$C$96,3,0)</f>
        <v>საკრებულო</v>
      </c>
      <c r="O54" s="66"/>
      <c r="P54" s="46" t="s">
        <v>343</v>
      </c>
      <c r="Q54" s="47" t="str">
        <f>VLOOKUP(P54,budget!$A$2:$B$96,2,0)</f>
        <v>ქალაქ ბათუმის მუნიციპალიტეტის საკრებულო</v>
      </c>
      <c r="R54" s="139"/>
      <c r="S54" s="133"/>
      <c r="T54" s="113">
        <f t="shared" si="0"/>
        <v>0</v>
      </c>
      <c r="U54" s="113"/>
      <c r="V54" s="113"/>
      <c r="W54" s="113"/>
      <c r="X54" s="78"/>
      <c r="Y54" s="28" t="str">
        <f t="shared" si="1"/>
        <v>-</v>
      </c>
      <c r="Z54" s="29"/>
    </row>
    <row r="55" spans="1:26" ht="22.5" customHeight="1">
      <c r="A55" s="243"/>
      <c r="B55" s="244"/>
      <c r="C55" s="246"/>
      <c r="D55" s="226" t="s">
        <v>429</v>
      </c>
      <c r="E55" s="125">
        <v>1000</v>
      </c>
      <c r="F55" s="91" t="s">
        <v>24</v>
      </c>
      <c r="G55" s="161" t="s">
        <v>400</v>
      </c>
      <c r="H55" s="92"/>
      <c r="I55" s="66"/>
      <c r="J55" s="45"/>
      <c r="K55" s="116"/>
      <c r="L55" s="21">
        <v>2020</v>
      </c>
      <c r="M55" s="44"/>
      <c r="N55" s="47" t="str">
        <f>VLOOKUP(P55,budget!$A$2:$C$96,3,0)</f>
        <v>აპარატი - IT</v>
      </c>
      <c r="O55" s="66"/>
      <c r="P55" s="46" t="s">
        <v>240</v>
      </c>
      <c r="Q55" s="47" t="str">
        <f>VLOOKUP(P55,budget!$A$2:$B$96,2,0)</f>
        <v>ქალაქ ბათუმის მუნიციპალიტეტის მერია</v>
      </c>
      <c r="R55" s="136"/>
      <c r="S55" s="112"/>
      <c r="T55" s="113">
        <f t="shared" si="0"/>
        <v>0</v>
      </c>
      <c r="U55" s="113"/>
      <c r="V55" s="113"/>
      <c r="W55" s="113"/>
      <c r="X55" s="78"/>
      <c r="Y55" s="28" t="str">
        <f t="shared" si="1"/>
        <v>-</v>
      </c>
      <c r="Z55" s="29"/>
    </row>
    <row r="56" spans="1:26" ht="22.5" customHeight="1">
      <c r="A56" s="243"/>
      <c r="B56" s="244"/>
      <c r="C56" s="246"/>
      <c r="D56" s="226" t="s">
        <v>429</v>
      </c>
      <c r="E56" s="125">
        <v>500</v>
      </c>
      <c r="F56" s="91" t="s">
        <v>24</v>
      </c>
      <c r="G56" s="93" t="s">
        <v>397</v>
      </c>
      <c r="H56" s="92"/>
      <c r="I56" s="66"/>
      <c r="J56" s="45"/>
      <c r="K56" s="116"/>
      <c r="L56" s="21">
        <v>2020</v>
      </c>
      <c r="M56" s="44"/>
      <c r="N56" s="47" t="str">
        <f>VLOOKUP(P56,budget!$A$2:$C$96,3,0)</f>
        <v>საკრებულო</v>
      </c>
      <c r="O56" s="66"/>
      <c r="P56" s="46" t="s">
        <v>343</v>
      </c>
      <c r="Q56" s="47" t="str">
        <f>VLOOKUP(P56,budget!$A$2:$B$96,2,0)</f>
        <v>ქალაქ ბათუმის მუნიციპალიტეტის საკრებულო</v>
      </c>
      <c r="R56" s="160"/>
      <c r="S56" s="112"/>
      <c r="T56" s="113">
        <f t="shared" si="0"/>
        <v>0</v>
      </c>
      <c r="U56" s="113"/>
      <c r="V56" s="113"/>
      <c r="W56" s="113"/>
      <c r="X56" s="78"/>
      <c r="Y56" s="28" t="str">
        <f t="shared" si="1"/>
        <v>-</v>
      </c>
      <c r="Z56" s="29"/>
    </row>
    <row r="57" spans="1:26" ht="25.5" customHeight="1">
      <c r="A57" s="243"/>
      <c r="B57" s="244"/>
      <c r="C57" s="246"/>
      <c r="D57" s="226" t="s">
        <v>171</v>
      </c>
      <c r="E57" s="125">
        <v>4000</v>
      </c>
      <c r="F57" s="91" t="s">
        <v>340</v>
      </c>
      <c r="G57" s="93" t="s">
        <v>397</v>
      </c>
      <c r="H57" s="92"/>
      <c r="I57" s="66"/>
      <c r="J57" s="45"/>
      <c r="K57" s="116"/>
      <c r="L57" s="21">
        <v>2020</v>
      </c>
      <c r="M57" s="44"/>
      <c r="N57" s="47" t="str">
        <f>VLOOKUP(P57,budget!$A$2:$C$96,3,0)</f>
        <v>აპარატი - IT</v>
      </c>
      <c r="O57" s="66"/>
      <c r="P57" s="46" t="s">
        <v>240</v>
      </c>
      <c r="Q57" s="47" t="str">
        <f>VLOOKUP(P57,budget!$A$2:$B$96,2,0)</f>
        <v>ქალაქ ბათუმის მუნიციპალიტეტის მერია</v>
      </c>
      <c r="R57" s="131"/>
      <c r="S57" s="208">
        <v>45</v>
      </c>
      <c r="T57" s="113">
        <f t="shared" si="0"/>
        <v>3908</v>
      </c>
      <c r="U57" s="209"/>
      <c r="V57" s="209">
        <v>3908</v>
      </c>
      <c r="W57" s="209"/>
      <c r="X57" s="207" t="s">
        <v>534</v>
      </c>
      <c r="Y57" s="28">
        <f t="shared" si="1"/>
        <v>92</v>
      </c>
      <c r="Z57" s="29"/>
    </row>
    <row r="58" spans="1:26" ht="23.25" customHeight="1">
      <c r="A58" s="243"/>
      <c r="B58" s="244"/>
      <c r="C58" s="246"/>
      <c r="D58" s="226" t="s">
        <v>171</v>
      </c>
      <c r="E58" s="125"/>
      <c r="F58" s="91" t="s">
        <v>106</v>
      </c>
      <c r="G58" s="237" t="s">
        <v>398</v>
      </c>
      <c r="H58" s="92"/>
      <c r="I58" s="48" t="s">
        <v>712</v>
      </c>
      <c r="J58" s="45">
        <v>22</v>
      </c>
      <c r="K58" s="115"/>
      <c r="L58" s="21">
        <v>2020</v>
      </c>
      <c r="M58" s="49"/>
      <c r="N58" s="47" t="str">
        <f>VLOOKUP(P58,budget!$A$2:$C$96,3,0)</f>
        <v>საკრებულო</v>
      </c>
      <c r="O58" s="66"/>
      <c r="P58" s="46" t="s">
        <v>343</v>
      </c>
      <c r="Q58" s="47" t="str">
        <f>VLOOKUP(P58,budget!$A$2:$B$96,2,0)</f>
        <v>ქალაქ ბათუმის მუნიციპალიტეტის საკრებულო</v>
      </c>
      <c r="R58" s="154"/>
      <c r="S58" s="133"/>
      <c r="T58" s="113">
        <f t="shared" si="0"/>
        <v>0</v>
      </c>
      <c r="U58" s="113"/>
      <c r="V58" s="113"/>
      <c r="W58" s="113"/>
      <c r="X58" s="78"/>
      <c r="Y58" s="28" t="str">
        <f t="shared" si="1"/>
        <v>-</v>
      </c>
      <c r="Z58" s="29"/>
    </row>
    <row r="59" spans="1:26" ht="24.75" customHeight="1">
      <c r="A59" s="243"/>
      <c r="B59" s="244"/>
      <c r="C59" s="246"/>
      <c r="D59" s="226" t="s">
        <v>371</v>
      </c>
      <c r="E59" s="125">
        <v>2000</v>
      </c>
      <c r="F59" s="91" t="s">
        <v>106</v>
      </c>
      <c r="G59" s="237" t="s">
        <v>397</v>
      </c>
      <c r="H59" s="92"/>
      <c r="I59" s="48" t="s">
        <v>448</v>
      </c>
      <c r="J59" s="45"/>
      <c r="K59" s="115"/>
      <c r="L59" s="21">
        <v>2020</v>
      </c>
      <c r="M59" s="49"/>
      <c r="N59" s="47" t="str">
        <f>VLOOKUP(P59,budget!$A$2:$C$96,3,0)</f>
        <v>აპარატი - მატერ-ტექნიკ.</v>
      </c>
      <c r="O59" s="66"/>
      <c r="P59" s="155" t="s">
        <v>239</v>
      </c>
      <c r="Q59" s="47" t="str">
        <f>VLOOKUP(P59,budget!$A$2:$B$96,2,0)</f>
        <v>ქალაქ ბათუმის მუნიციპალიტეტის მერია</v>
      </c>
      <c r="R59" s="159"/>
      <c r="S59" s="133"/>
      <c r="T59" s="113">
        <f t="shared" si="0"/>
        <v>0</v>
      </c>
      <c r="U59" s="113"/>
      <c r="V59" s="113"/>
      <c r="W59" s="113"/>
      <c r="X59" s="78"/>
      <c r="Y59" s="28" t="str">
        <f t="shared" si="1"/>
        <v>-</v>
      </c>
      <c r="Z59" s="29"/>
    </row>
    <row r="60" spans="1:26" ht="29.25" customHeight="1">
      <c r="A60" s="243"/>
      <c r="B60" s="244"/>
      <c r="C60" s="246"/>
      <c r="D60" s="226" t="s">
        <v>705</v>
      </c>
      <c r="E60" s="125">
        <v>180</v>
      </c>
      <c r="F60" s="91" t="s">
        <v>30</v>
      </c>
      <c r="G60" s="161" t="s">
        <v>400</v>
      </c>
      <c r="H60" s="92" t="str">
        <f>M60</f>
        <v>მე-9 მუხლ. მე-3(1) პუნქტი ”ა” ქვეპ..</v>
      </c>
      <c r="I60" s="48" t="s">
        <v>435</v>
      </c>
      <c r="J60" s="45">
        <v>17</v>
      </c>
      <c r="K60" s="115"/>
      <c r="L60" s="21">
        <v>2020</v>
      </c>
      <c r="M60" s="44" t="s">
        <v>338</v>
      </c>
      <c r="N60" s="47" t="str">
        <f>VLOOKUP(P60,[9]budget!$A$2:$C$104,3,0)</f>
        <v>აპარატი - მატერ-ტექნიკ.</v>
      </c>
      <c r="O60" s="66"/>
      <c r="P60" s="155" t="s">
        <v>239</v>
      </c>
      <c r="Q60" s="47" t="str">
        <f>VLOOKUP(P60,[9]budget!$A$2:$B$104,2,0)</f>
        <v>ქალაქ ბათუმის მუნიციპალიტეტის მერია</v>
      </c>
      <c r="R60" s="176"/>
      <c r="S60" s="178">
        <v>102</v>
      </c>
      <c r="T60" s="113"/>
      <c r="U60" s="230"/>
      <c r="V60" s="230">
        <v>180</v>
      </c>
      <c r="W60" s="230"/>
      <c r="X60" s="78" t="s">
        <v>649</v>
      </c>
      <c r="Y60" s="28" t="str">
        <f t="shared" ref="Y60" si="10">IF(W60=0,"-",E60-W60)</f>
        <v>-</v>
      </c>
      <c r="Z60" s="29"/>
    </row>
    <row r="61" spans="1:26" ht="29.25" customHeight="1">
      <c r="A61" s="243"/>
      <c r="B61" s="244"/>
      <c r="C61" s="246"/>
      <c r="D61" s="226" t="s">
        <v>702</v>
      </c>
      <c r="E61" s="125">
        <v>1450</v>
      </c>
      <c r="F61" s="91" t="s">
        <v>24</v>
      </c>
      <c r="G61" s="161" t="s">
        <v>400</v>
      </c>
      <c r="H61" s="92">
        <f>M61</f>
        <v>0</v>
      </c>
      <c r="I61" s="48" t="s">
        <v>435</v>
      </c>
      <c r="J61" s="45">
        <v>20</v>
      </c>
      <c r="K61" s="115"/>
      <c r="L61" s="21">
        <v>2020</v>
      </c>
      <c r="M61" s="44"/>
      <c r="N61" s="47" t="str">
        <f>VLOOKUP(P61,[9]budget!$A$2:$C$104,3,0)</f>
        <v>აპარატი - მატერ-ტექნიკ.</v>
      </c>
      <c r="O61" s="66"/>
      <c r="P61" s="155" t="s">
        <v>239</v>
      </c>
      <c r="Q61" s="47" t="str">
        <f>VLOOKUP(P61,[9]budget!$A$2:$B$104,2,0)</f>
        <v>ქალაქ ბათუმის მუნიციპალიტეტის მერია</v>
      </c>
      <c r="R61" s="176"/>
      <c r="S61" s="178"/>
      <c r="T61" s="113"/>
      <c r="U61" s="230"/>
      <c r="V61" s="230"/>
      <c r="W61" s="230"/>
      <c r="X61" s="78"/>
      <c r="Y61" s="28" t="str">
        <f t="shared" ref="Y61" si="11">IF(W61=0,"-",E61-W61)</f>
        <v>-</v>
      </c>
      <c r="Z61" s="29"/>
    </row>
    <row r="62" spans="1:26" ht="29.25" customHeight="1">
      <c r="A62" s="243"/>
      <c r="B62" s="244"/>
      <c r="C62" s="246"/>
      <c r="D62" s="226" t="s">
        <v>636</v>
      </c>
      <c r="E62" s="125">
        <f>1500+255</f>
        <v>1755</v>
      </c>
      <c r="F62" s="91" t="s">
        <v>24</v>
      </c>
      <c r="G62" s="161" t="s">
        <v>400</v>
      </c>
      <c r="H62" s="92"/>
      <c r="I62" s="48" t="s">
        <v>706</v>
      </c>
      <c r="J62" s="45">
        <v>20</v>
      </c>
      <c r="K62" s="115"/>
      <c r="L62" s="21">
        <v>2020</v>
      </c>
      <c r="M62" s="44"/>
      <c r="N62" s="47" t="str">
        <f>VLOOKUP(P62,[9]budget!$A$2:$C$104,3,0)</f>
        <v>აპარატი - მატერ-ტექნიკ.</v>
      </c>
      <c r="O62" s="66"/>
      <c r="P62" s="155" t="s">
        <v>239</v>
      </c>
      <c r="Q62" s="47" t="str">
        <f>VLOOKUP(P62,[9]budget!$A$2:$B$104,2,0)</f>
        <v>ქალაქ ბათუმის მუნიციპალიტეტის მერია</v>
      </c>
      <c r="R62" s="176"/>
      <c r="S62" s="178"/>
      <c r="T62" s="113"/>
      <c r="U62" s="230"/>
      <c r="V62" s="230"/>
      <c r="W62" s="230"/>
      <c r="X62" s="78"/>
      <c r="Y62" s="28" t="str">
        <f t="shared" ref="Y62" si="12">IF(W62=0,"-",E62-W62)</f>
        <v>-</v>
      </c>
      <c r="Z62" s="29"/>
    </row>
    <row r="63" spans="1:26" ht="29.25" customHeight="1">
      <c r="A63" s="243"/>
      <c r="B63" s="244"/>
      <c r="C63" s="246"/>
      <c r="D63" s="226" t="s">
        <v>384</v>
      </c>
      <c r="E63" s="125">
        <v>600</v>
      </c>
      <c r="F63" s="91" t="s">
        <v>24</v>
      </c>
      <c r="G63" s="237" t="s">
        <v>398</v>
      </c>
      <c r="H63" s="92"/>
      <c r="I63" s="48"/>
      <c r="J63" s="45"/>
      <c r="K63" s="115"/>
      <c r="L63" s="21">
        <v>2020</v>
      </c>
      <c r="M63" s="49"/>
      <c r="N63" s="47" t="str">
        <f>VLOOKUP(P63,budget!$A$2:$C$96,3,0)</f>
        <v>აპარატი - მატერ-ტექნიკ.</v>
      </c>
      <c r="O63" s="66"/>
      <c r="P63" s="155" t="s">
        <v>239</v>
      </c>
      <c r="Q63" s="47" t="str">
        <f>VLOOKUP(P63,budget!$A$2:$B$96,2,0)</f>
        <v>ქალაქ ბათუმის მუნიციპალიტეტის მერია</v>
      </c>
      <c r="R63" s="159"/>
      <c r="S63" s="178"/>
      <c r="T63" s="113">
        <f t="shared" si="0"/>
        <v>0</v>
      </c>
      <c r="U63" s="177"/>
      <c r="V63" s="177"/>
      <c r="W63" s="177"/>
      <c r="X63" s="78"/>
      <c r="Y63" s="28" t="str">
        <f t="shared" si="1"/>
        <v>-</v>
      </c>
      <c r="Z63" s="29"/>
    </row>
    <row r="64" spans="1:26" ht="24.75" customHeight="1">
      <c r="A64" s="243"/>
      <c r="B64" s="244"/>
      <c r="C64" s="246"/>
      <c r="D64" s="226" t="s">
        <v>704</v>
      </c>
      <c r="E64" s="125">
        <f>6800-2240</f>
        <v>4560</v>
      </c>
      <c r="F64" s="91" t="s">
        <v>106</v>
      </c>
      <c r="G64" s="237" t="s">
        <v>398</v>
      </c>
      <c r="H64" s="92"/>
      <c r="I64" s="48" t="s">
        <v>701</v>
      </c>
      <c r="J64" s="45">
        <v>20</v>
      </c>
      <c r="K64" s="115"/>
      <c r="L64" s="21">
        <v>2020</v>
      </c>
      <c r="M64" s="49"/>
      <c r="N64" s="47" t="str">
        <f>VLOOKUP(P64,budget!$A$2:$C$96,3,0)</f>
        <v>აპარატი - მატერ-ტექნიკ.</v>
      </c>
      <c r="O64" s="66"/>
      <c r="P64" s="155" t="s">
        <v>239</v>
      </c>
      <c r="Q64" s="47" t="str">
        <f>VLOOKUP(P64,budget!$A$2:$B$96,2,0)</f>
        <v>ქალაქ ბათუმის მუნიციპალიტეტის მერია</v>
      </c>
      <c r="R64" s="176"/>
      <c r="S64" s="133"/>
      <c r="T64" s="113">
        <f t="shared" si="0"/>
        <v>0</v>
      </c>
      <c r="U64" s="113"/>
      <c r="V64" s="113"/>
      <c r="W64" s="113"/>
      <c r="X64" s="78"/>
      <c r="Y64" s="28" t="str">
        <f t="shared" si="1"/>
        <v>-</v>
      </c>
      <c r="Z64" s="29"/>
    </row>
    <row r="65" spans="1:26" ht="27" customHeight="1">
      <c r="A65" s="243"/>
      <c r="B65" s="244"/>
      <c r="C65" s="246"/>
      <c r="D65" s="226" t="s">
        <v>385</v>
      </c>
      <c r="E65" s="125"/>
      <c r="F65" s="91" t="s">
        <v>106</v>
      </c>
      <c r="G65" s="237" t="s">
        <v>397</v>
      </c>
      <c r="H65" s="92"/>
      <c r="I65" s="48" t="s">
        <v>713</v>
      </c>
      <c r="J65" s="45">
        <v>22</v>
      </c>
      <c r="K65" s="115"/>
      <c r="L65" s="21">
        <v>2020</v>
      </c>
      <c r="M65" s="49"/>
      <c r="N65" s="47" t="str">
        <f>VLOOKUP(P65,budget!$A$2:$C$96,3,0)</f>
        <v>საკრებულო</v>
      </c>
      <c r="O65" s="66"/>
      <c r="P65" s="155" t="s">
        <v>343</v>
      </c>
      <c r="Q65" s="47" t="str">
        <f>VLOOKUP(P65,budget!$A$2:$B$96,2,0)</f>
        <v>ქალაქ ბათუმის მუნიციპალიტეტის საკრებულო</v>
      </c>
      <c r="R65" s="139"/>
      <c r="S65" s="133"/>
      <c r="T65" s="113">
        <f t="shared" si="0"/>
        <v>0</v>
      </c>
      <c r="U65" s="113"/>
      <c r="V65" s="113"/>
      <c r="W65" s="113"/>
      <c r="X65" s="78"/>
      <c r="Y65" s="28" t="str">
        <f t="shared" si="1"/>
        <v>-</v>
      </c>
      <c r="Z65" s="29"/>
    </row>
    <row r="66" spans="1:26" ht="29.25" customHeight="1">
      <c r="A66" s="238">
        <v>18</v>
      </c>
      <c r="B66" s="237">
        <v>31100000</v>
      </c>
      <c r="C66" s="236" t="s">
        <v>637</v>
      </c>
      <c r="D66" s="226" t="s">
        <v>638</v>
      </c>
      <c r="E66" s="125">
        <v>7500</v>
      </c>
      <c r="F66" s="91" t="s">
        <v>24</v>
      </c>
      <c r="G66" s="161" t="s">
        <v>400</v>
      </c>
      <c r="H66" s="92"/>
      <c r="I66" s="48" t="s">
        <v>435</v>
      </c>
      <c r="J66" s="45">
        <v>17</v>
      </c>
      <c r="K66" s="115"/>
      <c r="L66" s="21">
        <v>2020</v>
      </c>
      <c r="M66" s="56"/>
      <c r="N66" s="47" t="str">
        <f>VLOOKUP(P66,budget!$A$2:$C$96,3,0)</f>
        <v>აპარატი - მატერ-ტექნიკ.</v>
      </c>
      <c r="O66" s="51" t="s">
        <v>57</v>
      </c>
      <c r="P66" s="46" t="s">
        <v>239</v>
      </c>
      <c r="Q66" s="47" t="str">
        <f>VLOOKUP(P66,budget!$A$2:$B$96,2,0)</f>
        <v>ქალაქ ბათუმის მუნიციპალიტეტის მერია</v>
      </c>
      <c r="R66" s="176"/>
      <c r="S66" s="133">
        <v>111</v>
      </c>
      <c r="T66" s="113">
        <f t="shared" ref="T66" si="13">SUBTOTAL(9,U66:W66)</f>
        <v>7150</v>
      </c>
      <c r="U66" s="113"/>
      <c r="V66" s="113">
        <v>7150</v>
      </c>
      <c r="W66" s="113"/>
      <c r="X66" s="78" t="s">
        <v>695</v>
      </c>
      <c r="Y66" s="28">
        <f t="shared" ref="Y66" si="14">IF(V66=0,"-",E66-V66)</f>
        <v>350</v>
      </c>
      <c r="Z66" s="29"/>
    </row>
    <row r="67" spans="1:26" ht="29.25" customHeight="1">
      <c r="A67" s="243">
        <v>19</v>
      </c>
      <c r="B67" s="244">
        <v>31200000</v>
      </c>
      <c r="C67" s="246" t="s">
        <v>94</v>
      </c>
      <c r="D67" s="226" t="s">
        <v>94</v>
      </c>
      <c r="E67" s="125">
        <v>0</v>
      </c>
      <c r="F67" s="91" t="s">
        <v>30</v>
      </c>
      <c r="G67" s="237" t="s">
        <v>397</v>
      </c>
      <c r="H67" s="92" t="str">
        <f>M67</f>
        <v>მე-3 მუხ. 1-ლი პუნქ. "ს" ქვეპუნ.</v>
      </c>
      <c r="I67" s="48" t="s">
        <v>484</v>
      </c>
      <c r="J67" s="45">
        <v>13</v>
      </c>
      <c r="K67" s="115"/>
      <c r="L67" s="21">
        <v>2020</v>
      </c>
      <c r="M67" s="56" t="s">
        <v>31</v>
      </c>
      <c r="N67" s="47" t="str">
        <f>VLOOKUP(P67,budget!$A$2:$C$96,3,0)</f>
        <v>საკრებულო</v>
      </c>
      <c r="O67" s="51"/>
      <c r="P67" s="46" t="s">
        <v>343</v>
      </c>
      <c r="Q67" s="47" t="str">
        <f>VLOOKUP(P67,budget!$A$2:$B$96,2,0)</f>
        <v>ქალაქ ბათუმის მუნიციპალიტეტის საკრებულო</v>
      </c>
      <c r="R67" s="139"/>
      <c r="S67" s="133"/>
      <c r="T67" s="113">
        <f t="shared" si="0"/>
        <v>0</v>
      </c>
      <c r="U67" s="113"/>
      <c r="V67" s="113"/>
      <c r="W67" s="113"/>
      <c r="X67" s="78"/>
      <c r="Y67" s="28" t="str">
        <f t="shared" si="1"/>
        <v>-</v>
      </c>
      <c r="Z67" s="29"/>
    </row>
    <row r="68" spans="1:26" ht="30" customHeight="1">
      <c r="A68" s="243"/>
      <c r="B68" s="244"/>
      <c r="C68" s="246"/>
      <c r="D68" s="226" t="s">
        <v>94</v>
      </c>
      <c r="E68" s="125">
        <v>3000</v>
      </c>
      <c r="F68" s="91" t="s">
        <v>30</v>
      </c>
      <c r="G68" s="237" t="s">
        <v>397</v>
      </c>
      <c r="H68" s="92" t="str">
        <f>M68</f>
        <v>მე-3 მუხ. 1-ლი პუნქ. "ს" ქვეპუნ.</v>
      </c>
      <c r="I68" s="55"/>
      <c r="J68" s="45"/>
      <c r="K68" s="116"/>
      <c r="L68" s="21">
        <v>2020</v>
      </c>
      <c r="M68" s="44" t="s">
        <v>31</v>
      </c>
      <c r="N68" s="47" t="str">
        <f>VLOOKUP(P68,budget!$A$2:$C$96,3,0)</f>
        <v>აპარატი - მატერ-ტექნიკ.</v>
      </c>
      <c r="O68" s="66"/>
      <c r="P68" s="46" t="s">
        <v>239</v>
      </c>
      <c r="Q68" s="47" t="str">
        <f>VLOOKUP(P68,budget!$A$2:$B$96,2,0)</f>
        <v>ქალაქ ბათუმის მუნიციპალიტეტის მერია</v>
      </c>
      <c r="R68" s="50"/>
      <c r="S68" s="112"/>
      <c r="T68" s="113">
        <f t="shared" si="0"/>
        <v>0</v>
      </c>
      <c r="U68" s="113"/>
      <c r="V68" s="113"/>
      <c r="W68" s="113"/>
      <c r="X68" s="78"/>
      <c r="Y68" s="28" t="str">
        <f t="shared" si="1"/>
        <v>-</v>
      </c>
      <c r="Z68" s="29"/>
    </row>
    <row r="69" spans="1:26" ht="33.75" customHeight="1">
      <c r="A69" s="243">
        <v>20</v>
      </c>
      <c r="B69" s="244">
        <v>31300000</v>
      </c>
      <c r="C69" s="246" t="s">
        <v>92</v>
      </c>
      <c r="D69" s="226" t="s">
        <v>93</v>
      </c>
      <c r="E69" s="125">
        <v>2000</v>
      </c>
      <c r="F69" s="91" t="s">
        <v>30</v>
      </c>
      <c r="G69" s="237" t="s">
        <v>397</v>
      </c>
      <c r="H69" s="92" t="str">
        <f>M69</f>
        <v>მე-3 მუხ. 1-ლი პუნქ. "ს" ქვეპუნ.</v>
      </c>
      <c r="I69" s="55"/>
      <c r="J69" s="45"/>
      <c r="K69" s="116"/>
      <c r="L69" s="21">
        <v>2020</v>
      </c>
      <c r="M69" s="44" t="s">
        <v>31</v>
      </c>
      <c r="N69" s="47" t="str">
        <f>VLOOKUP(P69,budget!$A$2:$C$96,3,0)</f>
        <v>აპარატი - მატერ-ტექნიკ.</v>
      </c>
      <c r="O69" s="66"/>
      <c r="P69" s="46" t="s">
        <v>239</v>
      </c>
      <c r="Q69" s="47" t="str">
        <f>VLOOKUP(P69,budget!$A$2:$B$96,2,0)</f>
        <v>ქალაქ ბათუმის მუნიციპალიტეტის მერია</v>
      </c>
      <c r="R69" s="50"/>
      <c r="S69" s="208">
        <v>26</v>
      </c>
      <c r="T69" s="113">
        <f t="shared" si="0"/>
        <v>2000</v>
      </c>
      <c r="U69" s="209"/>
      <c r="V69" s="209">
        <v>2000</v>
      </c>
      <c r="W69" s="209"/>
      <c r="X69" s="207" t="s">
        <v>466</v>
      </c>
      <c r="Y69" s="28">
        <f t="shared" si="1"/>
        <v>0</v>
      </c>
      <c r="Z69" s="29"/>
    </row>
    <row r="70" spans="1:26" ht="29.25" customHeight="1">
      <c r="A70" s="243"/>
      <c r="B70" s="244"/>
      <c r="C70" s="246"/>
      <c r="D70" s="226" t="s">
        <v>93</v>
      </c>
      <c r="E70" s="125">
        <f>150-150</f>
        <v>0</v>
      </c>
      <c r="F70" s="91" t="s">
        <v>30</v>
      </c>
      <c r="G70" s="237" t="s">
        <v>397</v>
      </c>
      <c r="H70" s="92" t="str">
        <f>M70</f>
        <v>მე-3 მუხ. 1-ლი პუნქ. "ს" ქვეპუნ.</v>
      </c>
      <c r="I70" s="48" t="s">
        <v>484</v>
      </c>
      <c r="J70" s="45">
        <v>13</v>
      </c>
      <c r="K70" s="115"/>
      <c r="L70" s="21">
        <v>2020</v>
      </c>
      <c r="M70" s="56" t="s">
        <v>31</v>
      </c>
      <c r="N70" s="47" t="str">
        <f>VLOOKUP(P70,budget!$A$2:$C$96,3,0)</f>
        <v>საკრებულო</v>
      </c>
      <c r="O70" s="51"/>
      <c r="P70" s="46" t="s">
        <v>343</v>
      </c>
      <c r="Q70" s="47" t="str">
        <f>VLOOKUP(P70,budget!$A$2:$B$96,2,0)</f>
        <v>ქალაქ ბათუმის მუნიციპალიტეტის საკრებულო</v>
      </c>
      <c r="R70" s="139"/>
      <c r="S70" s="133"/>
      <c r="T70" s="113">
        <f t="shared" si="0"/>
        <v>0</v>
      </c>
      <c r="U70" s="113"/>
      <c r="V70" s="113"/>
      <c r="W70" s="113"/>
      <c r="X70" s="78"/>
      <c r="Y70" s="28" t="str">
        <f t="shared" si="1"/>
        <v>-</v>
      </c>
      <c r="Z70" s="29"/>
    </row>
    <row r="71" spans="1:26" ht="25.5" customHeight="1">
      <c r="A71" s="243">
        <v>21</v>
      </c>
      <c r="B71" s="244">
        <v>31400000</v>
      </c>
      <c r="C71" s="246" t="s">
        <v>170</v>
      </c>
      <c r="D71" s="226" t="s">
        <v>365</v>
      </c>
      <c r="E71" s="125">
        <v>1600</v>
      </c>
      <c r="F71" s="91" t="s">
        <v>106</v>
      </c>
      <c r="G71" s="237" t="s">
        <v>397</v>
      </c>
      <c r="H71" s="92"/>
      <c r="I71" s="48"/>
      <c r="J71" s="45"/>
      <c r="K71" s="115"/>
      <c r="L71" s="21">
        <v>2020</v>
      </c>
      <c r="M71" s="56"/>
      <c r="N71" s="47" t="str">
        <f>VLOOKUP(P71,budget!$A$2:$C$96,3,0)</f>
        <v>აპარატი - მატერ-ტექნიკ.</v>
      </c>
      <c r="O71" s="51"/>
      <c r="P71" s="46" t="s">
        <v>239</v>
      </c>
      <c r="Q71" s="47" t="str">
        <f>VLOOKUP(P71,budget!$A$2:$B$96,2,0)</f>
        <v>ქალაქ ბათუმის მუნიციპალიტეტის მერია</v>
      </c>
      <c r="R71" s="170"/>
      <c r="S71" s="205">
        <v>43</v>
      </c>
      <c r="T71" s="206">
        <f t="shared" si="0"/>
        <v>536</v>
      </c>
      <c r="U71" s="206"/>
      <c r="V71" s="206">
        <v>536</v>
      </c>
      <c r="W71" s="206"/>
      <c r="X71" s="210" t="s">
        <v>453</v>
      </c>
      <c r="Y71" s="28">
        <f t="shared" si="1"/>
        <v>1064</v>
      </c>
      <c r="Z71" s="29"/>
    </row>
    <row r="72" spans="1:26" ht="25.5" customHeight="1">
      <c r="A72" s="243"/>
      <c r="B72" s="244"/>
      <c r="C72" s="246"/>
      <c r="D72" s="226" t="s">
        <v>365</v>
      </c>
      <c r="E72" s="125">
        <v>1000</v>
      </c>
      <c r="F72" s="91" t="s">
        <v>106</v>
      </c>
      <c r="G72" s="237" t="s">
        <v>397</v>
      </c>
      <c r="H72" s="92"/>
      <c r="I72" s="48"/>
      <c r="J72" s="45"/>
      <c r="K72" s="115"/>
      <c r="L72" s="21">
        <v>2020</v>
      </c>
      <c r="M72" s="56"/>
      <c r="N72" s="47" t="str">
        <f>VLOOKUP(P72,budget!$A$2:$C$96,3,0)</f>
        <v>საკრებულო</v>
      </c>
      <c r="O72" s="51"/>
      <c r="P72" s="46" t="s">
        <v>343</v>
      </c>
      <c r="Q72" s="47" t="str">
        <f>VLOOKUP(P72,budget!$A$2:$B$96,2,0)</f>
        <v>ქალაქ ბათუმის მუნიციპალიტეტის საკრებულო</v>
      </c>
      <c r="R72" s="176"/>
      <c r="S72" s="133" t="s">
        <v>694</v>
      </c>
      <c r="T72" s="113">
        <f t="shared" ref="T72" si="15">SUBTOTAL(9,U72:W72)</f>
        <v>536</v>
      </c>
      <c r="U72" s="113"/>
      <c r="V72" s="113">
        <f>134+134+134+134</f>
        <v>536</v>
      </c>
      <c r="W72" s="113"/>
      <c r="X72" s="78" t="s">
        <v>453</v>
      </c>
      <c r="Y72" s="28">
        <f t="shared" ref="Y72" si="16">IF(V72=0,"-",E72-V72)</f>
        <v>464</v>
      </c>
      <c r="Z72" s="29"/>
    </row>
    <row r="73" spans="1:26" ht="25.5" customHeight="1">
      <c r="A73" s="243"/>
      <c r="B73" s="244"/>
      <c r="C73" s="246"/>
      <c r="D73" s="226" t="s">
        <v>611</v>
      </c>
      <c r="E73" s="125">
        <v>75</v>
      </c>
      <c r="F73" s="91" t="s">
        <v>30</v>
      </c>
      <c r="G73" s="237" t="s">
        <v>398</v>
      </c>
      <c r="H73" s="92" t="str">
        <f>M73</f>
        <v>მე-3 მუხ. 1-ლი პუნქ. "ს" ქვეპუნ.</v>
      </c>
      <c r="I73" s="48" t="s">
        <v>612</v>
      </c>
      <c r="J73" s="45">
        <v>14</v>
      </c>
      <c r="K73" s="115"/>
      <c r="L73" s="21">
        <v>2020</v>
      </c>
      <c r="M73" s="56" t="s">
        <v>31</v>
      </c>
      <c r="N73" s="47" t="str">
        <f>VLOOKUP(P73,budget!$A$2:$C$96,3,0)</f>
        <v>საკრებულო</v>
      </c>
      <c r="O73" s="51"/>
      <c r="P73" s="46" t="s">
        <v>343</v>
      </c>
      <c r="Q73" s="47" t="str">
        <f>VLOOKUP(P73,budget!$A$2:$B$96,2,0)</f>
        <v>ქალაქ ბათუმის მუნიციპალიტეტის საკრებულო</v>
      </c>
      <c r="R73" s="139"/>
      <c r="S73" s="133">
        <v>88</v>
      </c>
      <c r="T73" s="113">
        <f t="shared" si="0"/>
        <v>75</v>
      </c>
      <c r="U73" s="113"/>
      <c r="V73" s="113">
        <v>75</v>
      </c>
      <c r="W73" s="113"/>
      <c r="X73" s="78" t="s">
        <v>624</v>
      </c>
      <c r="Y73" s="28">
        <f t="shared" si="1"/>
        <v>0</v>
      </c>
      <c r="Z73" s="29"/>
    </row>
    <row r="74" spans="1:26" ht="25.5" customHeight="1">
      <c r="A74" s="243">
        <v>22</v>
      </c>
      <c r="B74" s="244">
        <v>31500000</v>
      </c>
      <c r="C74" s="246" t="s">
        <v>12</v>
      </c>
      <c r="D74" s="226" t="s">
        <v>154</v>
      </c>
      <c r="E74" s="125">
        <f>8000-223</f>
        <v>7777</v>
      </c>
      <c r="F74" s="91" t="s">
        <v>24</v>
      </c>
      <c r="G74" s="93" t="s">
        <v>394</v>
      </c>
      <c r="H74" s="92"/>
      <c r="I74" s="96" t="s">
        <v>673</v>
      </c>
      <c r="J74" s="45">
        <v>18</v>
      </c>
      <c r="K74" s="117"/>
      <c r="L74" s="21">
        <v>2020</v>
      </c>
      <c r="M74" s="49"/>
      <c r="N74" s="47" t="str">
        <f>VLOOKUP(P74,budget!$A$2:$C$96,3,0)</f>
        <v>აპარატი - მატერ-ტექნიკ.</v>
      </c>
      <c r="O74" s="66" t="s">
        <v>55</v>
      </c>
      <c r="P74" s="46" t="s">
        <v>239</v>
      </c>
      <c r="Q74" s="47" t="str">
        <f>VLOOKUP(P74,budget!$A$2:$B$96,2,0)</f>
        <v>ქალაქ ბათუმის მუნიციპალიტეტის მერია</v>
      </c>
      <c r="R74" s="71"/>
      <c r="S74" s="208">
        <v>33</v>
      </c>
      <c r="T74" s="209">
        <f t="shared" si="0"/>
        <v>7777</v>
      </c>
      <c r="U74" s="209"/>
      <c r="V74" s="209">
        <v>7777</v>
      </c>
      <c r="W74" s="209"/>
      <c r="X74" s="207" t="s">
        <v>501</v>
      </c>
      <c r="Y74" s="28">
        <f t="shared" si="1"/>
        <v>0</v>
      </c>
      <c r="Z74" s="29"/>
    </row>
    <row r="75" spans="1:26" ht="29.25" customHeight="1">
      <c r="A75" s="243"/>
      <c r="B75" s="244"/>
      <c r="C75" s="246"/>
      <c r="D75" s="226" t="s">
        <v>154</v>
      </c>
      <c r="E75" s="125">
        <v>486</v>
      </c>
      <c r="F75" s="91" t="s">
        <v>24</v>
      </c>
      <c r="G75" s="237" t="s">
        <v>397</v>
      </c>
      <c r="H75" s="92"/>
      <c r="I75" s="48" t="s">
        <v>715</v>
      </c>
      <c r="J75" s="45">
        <v>22</v>
      </c>
      <c r="K75" s="115"/>
      <c r="L75" s="21">
        <v>2020</v>
      </c>
      <c r="M75" s="49"/>
      <c r="N75" s="47" t="str">
        <f>VLOOKUP(P75,budget!$A$2:$C$96,3,0)</f>
        <v>საკრებულო</v>
      </c>
      <c r="O75" s="66" t="s">
        <v>55</v>
      </c>
      <c r="P75" s="46" t="s">
        <v>343</v>
      </c>
      <c r="Q75" s="47" t="str">
        <f>VLOOKUP(P75,budget!$A$2:$B$96,2,0)</f>
        <v>ქალაქ ბათუმის მუნიციპალიტეტის საკრებულო</v>
      </c>
      <c r="R75" s="139"/>
      <c r="S75" s="133">
        <v>35</v>
      </c>
      <c r="T75" s="113">
        <f t="shared" si="0"/>
        <v>486</v>
      </c>
      <c r="U75" s="113"/>
      <c r="V75" s="113">
        <v>486</v>
      </c>
      <c r="W75" s="113"/>
      <c r="X75" s="78" t="s">
        <v>503</v>
      </c>
      <c r="Y75" s="28">
        <f t="shared" si="1"/>
        <v>0</v>
      </c>
      <c r="Z75" s="29"/>
    </row>
    <row r="76" spans="1:26" ht="33" customHeight="1">
      <c r="A76" s="243">
        <v>23</v>
      </c>
      <c r="B76" s="244">
        <v>32300000</v>
      </c>
      <c r="C76" s="246" t="s">
        <v>414</v>
      </c>
      <c r="D76" s="226" t="s">
        <v>410</v>
      </c>
      <c r="E76" s="125">
        <f>3000-2002</f>
        <v>998</v>
      </c>
      <c r="F76" s="91" t="s">
        <v>24</v>
      </c>
      <c r="G76" s="237" t="s">
        <v>397</v>
      </c>
      <c r="H76" s="92">
        <f>M76</f>
        <v>0</v>
      </c>
      <c r="I76" s="156" t="s">
        <v>591</v>
      </c>
      <c r="J76" s="45">
        <v>13</v>
      </c>
      <c r="K76" s="115"/>
      <c r="L76" s="21">
        <v>2020</v>
      </c>
      <c r="M76" s="56"/>
      <c r="N76" s="47" t="str">
        <f>VLOOKUP(P76,budget!$A$2:$C$96,3,0)</f>
        <v>საკრებულო</v>
      </c>
      <c r="O76" s="66" t="s">
        <v>55</v>
      </c>
      <c r="P76" s="46" t="s">
        <v>343</v>
      </c>
      <c r="Q76" s="47" t="str">
        <f>VLOOKUP(P76,budget!$A$2:$B$96,2,0)</f>
        <v>ქალაქ ბათუმის მუნიციპალიტეტის საკრებულო</v>
      </c>
      <c r="R76" s="154"/>
      <c r="S76" s="133">
        <v>66</v>
      </c>
      <c r="T76" s="113">
        <f t="shared" si="0"/>
        <v>998</v>
      </c>
      <c r="U76" s="113"/>
      <c r="V76" s="113">
        <v>998</v>
      </c>
      <c r="W76" s="113"/>
      <c r="X76" s="78" t="s">
        <v>550</v>
      </c>
      <c r="Y76" s="28">
        <f t="shared" si="1"/>
        <v>0</v>
      </c>
      <c r="Z76" s="29"/>
    </row>
    <row r="77" spans="1:26" ht="36.75" customHeight="1">
      <c r="A77" s="243"/>
      <c r="B77" s="244"/>
      <c r="C77" s="246"/>
      <c r="D77" s="226" t="s">
        <v>511</v>
      </c>
      <c r="E77" s="125">
        <v>61875</v>
      </c>
      <c r="F77" s="91" t="s">
        <v>24</v>
      </c>
      <c r="G77" s="237" t="s">
        <v>397</v>
      </c>
      <c r="H77" s="92"/>
      <c r="I77" s="156" t="s">
        <v>435</v>
      </c>
      <c r="J77" s="45">
        <v>8</v>
      </c>
      <c r="K77" s="115"/>
      <c r="L77" s="21">
        <v>2020</v>
      </c>
      <c r="M77" s="56"/>
      <c r="N77" s="47" t="str">
        <f>VLOOKUP(P77,[10]budget!$A$2:$C$104,3,0)</f>
        <v>სოციალური</v>
      </c>
      <c r="O77" s="66"/>
      <c r="P77" s="46" t="s">
        <v>290</v>
      </c>
      <c r="Q77" s="47" t="str">
        <f>VLOOKUP(P77,[10]budget!$A$2:$B$104,2,0)</f>
        <v>მოწყვლადი სოციალური კატეგორიებისათვის მინიმალური სოციალური პირობების შექმნა</v>
      </c>
      <c r="R77" s="176"/>
      <c r="S77" s="133"/>
      <c r="T77" s="113">
        <f t="shared" si="0"/>
        <v>0</v>
      </c>
      <c r="U77" s="113"/>
      <c r="V77" s="113"/>
      <c r="W77" s="113"/>
      <c r="X77" s="78"/>
      <c r="Y77" s="28" t="str">
        <f t="shared" si="1"/>
        <v>-</v>
      </c>
      <c r="Z77" s="29"/>
    </row>
    <row r="78" spans="1:26" ht="33.75" customHeight="1">
      <c r="A78" s="244">
        <v>24</v>
      </c>
      <c r="B78" s="244">
        <v>32500000</v>
      </c>
      <c r="C78" s="246" t="s">
        <v>325</v>
      </c>
      <c r="D78" s="226" t="s">
        <v>174</v>
      </c>
      <c r="E78" s="125">
        <v>3862</v>
      </c>
      <c r="F78" s="91" t="s">
        <v>30</v>
      </c>
      <c r="G78" s="237" t="s">
        <v>397</v>
      </c>
      <c r="H78" s="92" t="str">
        <f>M78</f>
        <v>მე-3 მუხ. 1-ლი პუნქ. "ს" ქვეპუნ.</v>
      </c>
      <c r="I78" s="95"/>
      <c r="J78" s="45"/>
      <c r="K78" s="116"/>
      <c r="L78" s="21">
        <v>2020</v>
      </c>
      <c r="M78" s="44" t="s">
        <v>31</v>
      </c>
      <c r="N78" s="47" t="str">
        <f>VLOOKUP(P78,budget!$A$2:$C$96,3,0)</f>
        <v>აპარატი - მატერ-ტექნიკ.</v>
      </c>
      <c r="O78" s="66"/>
      <c r="P78" s="46" t="s">
        <v>239</v>
      </c>
      <c r="Q78" s="47" t="str">
        <f>VLOOKUP(P78,budget!$A$2:$B$96,2,0)</f>
        <v>ქალაქ ბათუმის მუნიციპალიტეტის მერია</v>
      </c>
      <c r="R78" s="50"/>
      <c r="S78" s="208">
        <v>148</v>
      </c>
      <c r="T78" s="209">
        <f t="shared" si="0"/>
        <v>3861.9</v>
      </c>
      <c r="U78" s="209"/>
      <c r="V78" s="209">
        <v>3861.9</v>
      </c>
      <c r="W78" s="209"/>
      <c r="X78" s="207" t="s">
        <v>469</v>
      </c>
      <c r="Y78" s="28">
        <f t="shared" si="1"/>
        <v>9.9999999999909051E-2</v>
      </c>
      <c r="Z78" s="29"/>
    </row>
    <row r="79" spans="1:26" ht="26.25" customHeight="1">
      <c r="A79" s="244"/>
      <c r="B79" s="244"/>
      <c r="C79" s="246"/>
      <c r="D79" s="226" t="s">
        <v>347</v>
      </c>
      <c r="E79" s="125">
        <f>150-150</f>
        <v>0</v>
      </c>
      <c r="F79" s="91" t="s">
        <v>30</v>
      </c>
      <c r="G79" s="237" t="s">
        <v>397</v>
      </c>
      <c r="H79" s="92" t="str">
        <f>M79</f>
        <v>მე-3 მუხ. 1-ლი პუნქ. "ს" ქვეპუნ.</v>
      </c>
      <c r="I79" s="48" t="s">
        <v>484</v>
      </c>
      <c r="J79" s="45">
        <v>14</v>
      </c>
      <c r="K79" s="115"/>
      <c r="L79" s="21">
        <v>2020</v>
      </c>
      <c r="M79" s="56" t="s">
        <v>31</v>
      </c>
      <c r="N79" s="47" t="str">
        <f>VLOOKUP(P79,budget!$A$2:$C$96,3,0)</f>
        <v>საკრებულო</v>
      </c>
      <c r="O79" s="51"/>
      <c r="P79" s="46" t="s">
        <v>343</v>
      </c>
      <c r="Q79" s="47" t="str">
        <f>VLOOKUP(P79,budget!$A$2:$B$96,2,0)</f>
        <v>ქალაქ ბათუმის მუნიციპალიტეტის საკრებულო</v>
      </c>
      <c r="R79" s="176"/>
      <c r="S79" s="133"/>
      <c r="T79" s="113">
        <f t="shared" ref="T79" si="17">SUBTOTAL(9,U79:W79)</f>
        <v>0</v>
      </c>
      <c r="U79" s="113"/>
      <c r="V79" s="113"/>
      <c r="W79" s="113"/>
      <c r="X79" s="78"/>
      <c r="Y79" s="28" t="str">
        <f t="shared" ref="Y79" si="18">IF(V79=0,"-",E79-V79)</f>
        <v>-</v>
      </c>
      <c r="Z79" s="29"/>
    </row>
    <row r="80" spans="1:26" ht="26.25" customHeight="1">
      <c r="A80" s="244"/>
      <c r="B80" s="244"/>
      <c r="C80" s="246"/>
      <c r="D80" s="226" t="s">
        <v>347</v>
      </c>
      <c r="E80" s="125">
        <v>1390</v>
      </c>
      <c r="F80" s="91" t="s">
        <v>30</v>
      </c>
      <c r="G80" s="237" t="s">
        <v>397</v>
      </c>
      <c r="H80" s="92" t="str">
        <f>M80</f>
        <v>მე-10(1) მუხლ. მე-3 პუნქ. ”ბ” ქვეპ.</v>
      </c>
      <c r="I80" s="48" t="s">
        <v>435</v>
      </c>
      <c r="J80" s="45">
        <v>14</v>
      </c>
      <c r="K80" s="115"/>
      <c r="L80" s="21">
        <v>2020</v>
      </c>
      <c r="M80" s="44" t="s">
        <v>62</v>
      </c>
      <c r="N80" s="47" t="str">
        <f>VLOOKUP(P80,budget!$A$2:$C$96,3,0)</f>
        <v>აპარატი</v>
      </c>
      <c r="O80" s="51"/>
      <c r="P80" s="46" t="s">
        <v>91</v>
      </c>
      <c r="Q80" s="47" t="str">
        <f>VLOOKUP(P80,budget!$A$2:$B$96,2,0)</f>
        <v>ქალაქ ბათუმის მუნიციპალიტეტის მერია</v>
      </c>
      <c r="R80" s="159"/>
      <c r="S80" s="133">
        <v>79</v>
      </c>
      <c r="T80" s="113">
        <f t="shared" si="0"/>
        <v>1390</v>
      </c>
      <c r="U80" s="113"/>
      <c r="V80" s="113">
        <v>1390</v>
      </c>
      <c r="W80" s="113"/>
      <c r="X80" s="78" t="s">
        <v>629</v>
      </c>
      <c r="Y80" s="28">
        <f t="shared" si="1"/>
        <v>0</v>
      </c>
      <c r="Z80" s="29"/>
    </row>
    <row r="81" spans="1:26" ht="26.25" customHeight="1">
      <c r="A81" s="244">
        <v>25</v>
      </c>
      <c r="B81" s="244">
        <v>33100000</v>
      </c>
      <c r="C81" s="263" t="s">
        <v>555</v>
      </c>
      <c r="D81" s="226" t="s">
        <v>556</v>
      </c>
      <c r="E81" s="125">
        <f>160+1000</f>
        <v>1160</v>
      </c>
      <c r="F81" s="91" t="s">
        <v>30</v>
      </c>
      <c r="G81" s="237" t="s">
        <v>398</v>
      </c>
      <c r="H81" s="92" t="str">
        <f>M81</f>
        <v>მე-3 მუხ. 1-ლი პუნქ. "ს" ქვეპუნ.</v>
      </c>
      <c r="I81" s="156" t="s">
        <v>602</v>
      </c>
      <c r="J81" s="45">
        <v>13</v>
      </c>
      <c r="K81" s="115"/>
      <c r="L81" s="21">
        <v>2020</v>
      </c>
      <c r="M81" s="56" t="s">
        <v>31</v>
      </c>
      <c r="N81" s="47" t="str">
        <f>VLOOKUP(P81,budget!$A$2:$C$96,3,0)</f>
        <v>აპარატი</v>
      </c>
      <c r="O81" s="51"/>
      <c r="P81" s="46" t="s">
        <v>91</v>
      </c>
      <c r="Q81" s="47" t="str">
        <f>VLOOKUP(P81,budget!$A$2:$B$96,2,0)</f>
        <v>ქალაქ ბათუმის მუნიციპალიტეტის მერია</v>
      </c>
      <c r="R81" s="176"/>
      <c r="S81" s="205" t="s">
        <v>617</v>
      </c>
      <c r="T81" s="206">
        <f t="shared" si="0"/>
        <v>1158.1199999999999</v>
      </c>
      <c r="U81" s="206"/>
      <c r="V81" s="206">
        <f>158.12+1000</f>
        <v>1158.1199999999999</v>
      </c>
      <c r="W81" s="206"/>
      <c r="X81" s="210" t="s">
        <v>618</v>
      </c>
      <c r="Y81" s="28">
        <f t="shared" si="1"/>
        <v>1.8800000000001091</v>
      </c>
      <c r="Z81" s="29"/>
    </row>
    <row r="82" spans="1:26" ht="26.25" customHeight="1">
      <c r="A82" s="244"/>
      <c r="B82" s="244"/>
      <c r="C82" s="263"/>
      <c r="D82" s="226" t="s">
        <v>654</v>
      </c>
      <c r="E82" s="125">
        <f>375+237</f>
        <v>612</v>
      </c>
      <c r="F82" s="91" t="s">
        <v>652</v>
      </c>
      <c r="G82" s="237" t="s">
        <v>653</v>
      </c>
      <c r="H82" s="92"/>
      <c r="I82" s="156" t="s">
        <v>720</v>
      </c>
      <c r="J82" s="45">
        <v>22</v>
      </c>
      <c r="K82" s="115"/>
      <c r="L82" s="21">
        <v>2020</v>
      </c>
      <c r="M82" s="56"/>
      <c r="N82" s="47" t="str">
        <f>VLOOKUP(P82,budget!$A$2:$C$96,3,0)</f>
        <v>აპარატი - მატერ-ტექნიკ.</v>
      </c>
      <c r="O82" s="51"/>
      <c r="P82" s="46" t="s">
        <v>239</v>
      </c>
      <c r="Q82" s="47" t="str">
        <f>VLOOKUP(P82,budget!$A$2:$B$96,2,0)</f>
        <v>ქალაქ ბათუმის მუნიციპალიტეტის მერია</v>
      </c>
      <c r="R82" s="176"/>
      <c r="S82" s="205">
        <v>108</v>
      </c>
      <c r="T82" s="206"/>
      <c r="U82" s="206"/>
      <c r="V82" s="206">
        <v>282</v>
      </c>
      <c r="W82" s="206"/>
      <c r="X82" s="210" t="s">
        <v>692</v>
      </c>
      <c r="Y82" s="28">
        <f t="shared" ref="Y82" si="19">IF(V82=0,"-",E82-V82)</f>
        <v>330</v>
      </c>
      <c r="Z82" s="29"/>
    </row>
    <row r="83" spans="1:26" ht="26.25" customHeight="1">
      <c r="A83" s="244"/>
      <c r="B83" s="244"/>
      <c r="C83" s="263"/>
      <c r="D83" s="226" t="s">
        <v>703</v>
      </c>
      <c r="E83" s="125">
        <v>206</v>
      </c>
      <c r="F83" s="91" t="s">
        <v>652</v>
      </c>
      <c r="G83" s="237" t="s">
        <v>653</v>
      </c>
      <c r="H83" s="92"/>
      <c r="I83" s="156" t="s">
        <v>435</v>
      </c>
      <c r="J83" s="45">
        <v>20</v>
      </c>
      <c r="K83" s="115"/>
      <c r="L83" s="21">
        <v>2020</v>
      </c>
      <c r="M83" s="56"/>
      <c r="N83" s="47" t="str">
        <f>VLOOKUP(P83,budget!$A$2:$C$96,3,0)</f>
        <v>აპარატი - მატერ-ტექნიკ.</v>
      </c>
      <c r="O83" s="51"/>
      <c r="P83" s="46" t="s">
        <v>239</v>
      </c>
      <c r="Q83" s="47" t="str">
        <f>VLOOKUP(P83,budget!$A$2:$B$96,2,0)</f>
        <v>ქალაქ ბათუმის მუნიციპალიტეტის მერია</v>
      </c>
      <c r="R83" s="176"/>
      <c r="S83" s="205"/>
      <c r="T83" s="206"/>
      <c r="U83" s="206"/>
      <c r="V83" s="206"/>
      <c r="W83" s="206"/>
      <c r="X83" s="210"/>
      <c r="Y83" s="28"/>
      <c r="Z83" s="29"/>
    </row>
    <row r="84" spans="1:26" ht="26.25" customHeight="1">
      <c r="A84" s="244"/>
      <c r="B84" s="244"/>
      <c r="C84" s="263"/>
      <c r="D84" s="226" t="s">
        <v>606</v>
      </c>
      <c r="E84" s="125">
        <v>130</v>
      </c>
      <c r="F84" s="91" t="s">
        <v>652</v>
      </c>
      <c r="G84" s="237" t="s">
        <v>653</v>
      </c>
      <c r="H84" s="92"/>
      <c r="I84" s="156" t="s">
        <v>435</v>
      </c>
      <c r="J84" s="45">
        <v>20</v>
      </c>
      <c r="K84" s="115"/>
      <c r="L84" s="21">
        <v>2020</v>
      </c>
      <c r="M84" s="56"/>
      <c r="N84" s="47" t="str">
        <f>VLOOKUP(P84,budget!$A$2:$C$96,3,0)</f>
        <v>საკრებულო</v>
      </c>
      <c r="O84" s="51"/>
      <c r="P84" s="46" t="s">
        <v>343</v>
      </c>
      <c r="Q84" s="47" t="str">
        <f>VLOOKUP(P84,budget!$A$2:$B$96,2,0)</f>
        <v>ქალაქ ბათუმის მუნიციპალიტეტის საკრებულო</v>
      </c>
      <c r="R84" s="176"/>
      <c r="S84" s="205"/>
      <c r="T84" s="206"/>
      <c r="U84" s="206"/>
      <c r="V84" s="206"/>
      <c r="W84" s="206"/>
      <c r="X84" s="210"/>
      <c r="Y84" s="28"/>
      <c r="Z84" s="29"/>
    </row>
    <row r="85" spans="1:26" ht="26.25" customHeight="1">
      <c r="A85" s="244"/>
      <c r="B85" s="244"/>
      <c r="C85" s="263"/>
      <c r="D85" s="226" t="s">
        <v>606</v>
      </c>
      <c r="E85" s="125">
        <v>490</v>
      </c>
      <c r="F85" s="91" t="s">
        <v>30</v>
      </c>
      <c r="G85" s="237" t="s">
        <v>398</v>
      </c>
      <c r="H85" s="92" t="str">
        <f>M85</f>
        <v>მე-3 მუხ. 1-ლი პუნქ. "ს" ქვეპუნ.</v>
      </c>
      <c r="I85" s="156" t="s">
        <v>435</v>
      </c>
      <c r="J85" s="45">
        <v>14</v>
      </c>
      <c r="K85" s="115"/>
      <c r="L85" s="21">
        <v>2020</v>
      </c>
      <c r="M85" s="56" t="s">
        <v>31</v>
      </c>
      <c r="N85" s="47" t="str">
        <f>VLOOKUP(P85,budget!$A$2:$C$96,3,0)</f>
        <v>საკრებულო</v>
      </c>
      <c r="O85" s="51"/>
      <c r="P85" s="46" t="s">
        <v>343</v>
      </c>
      <c r="Q85" s="47" t="str">
        <f>VLOOKUP(P85,budget!$A$2:$B$96,2,0)</f>
        <v>ქალაქ ბათუმის მუნიციპალიტეტის საკრებულო</v>
      </c>
      <c r="R85" s="176"/>
      <c r="S85" s="205">
        <v>84</v>
      </c>
      <c r="T85" s="206">
        <f t="shared" si="0"/>
        <v>489</v>
      </c>
      <c r="U85" s="206"/>
      <c r="V85" s="206">
        <v>489</v>
      </c>
      <c r="W85" s="206"/>
      <c r="X85" s="210" t="s">
        <v>620</v>
      </c>
      <c r="Y85" s="28">
        <f t="shared" si="1"/>
        <v>1</v>
      </c>
      <c r="Z85" s="29"/>
    </row>
    <row r="86" spans="1:26" ht="38.25" customHeight="1">
      <c r="A86" s="264">
        <v>26</v>
      </c>
      <c r="B86" s="249">
        <v>33600000</v>
      </c>
      <c r="C86" s="265" t="s">
        <v>13</v>
      </c>
      <c r="D86" s="226" t="s">
        <v>32</v>
      </c>
      <c r="E86" s="125">
        <f>39932.7-1926-14500</f>
        <v>23506.699999999997</v>
      </c>
      <c r="F86" s="137" t="s">
        <v>340</v>
      </c>
      <c r="G86" s="93" t="s">
        <v>394</v>
      </c>
      <c r="H86" s="92"/>
      <c r="I86" s="101" t="s">
        <v>657</v>
      </c>
      <c r="J86" s="45">
        <v>18</v>
      </c>
      <c r="K86" s="116"/>
      <c r="L86" s="21">
        <v>2020</v>
      </c>
      <c r="M86" s="54"/>
      <c r="N86" s="47" t="str">
        <f>VLOOKUP(P86,budget!$A$2:$C$96,3,0)</f>
        <v>ჯანდაცვა</v>
      </c>
      <c r="O86" s="66"/>
      <c r="P86" s="46" t="s">
        <v>132</v>
      </c>
      <c r="Q86" s="47" t="str">
        <f>VLOOKUP(P86,budget!$A$2:$B$96,2,0)</f>
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</c>
      <c r="R86" s="71"/>
      <c r="S86" s="112" t="s">
        <v>647</v>
      </c>
      <c r="T86" s="113">
        <f t="shared" si="0"/>
        <v>23305.599999999999</v>
      </c>
      <c r="U86" s="113"/>
      <c r="V86" s="113">
        <f>21654.6+1651</f>
        <v>23305.599999999999</v>
      </c>
      <c r="W86" s="113"/>
      <c r="X86" s="78" t="s">
        <v>646</v>
      </c>
      <c r="Y86" s="28">
        <f t="shared" si="1"/>
        <v>201.09999999999854</v>
      </c>
      <c r="Z86" s="29"/>
    </row>
    <row r="87" spans="1:26" s="204" customFormat="1" ht="27" customHeight="1">
      <c r="A87" s="264"/>
      <c r="B87" s="249"/>
      <c r="C87" s="265"/>
      <c r="D87" s="226" t="s">
        <v>32</v>
      </c>
      <c r="E87" s="125">
        <v>14500</v>
      </c>
      <c r="F87" s="137" t="s">
        <v>24</v>
      </c>
      <c r="G87" s="237" t="s">
        <v>653</v>
      </c>
      <c r="H87" s="92"/>
      <c r="I87" s="194" t="s">
        <v>435</v>
      </c>
      <c r="J87" s="195">
        <v>18</v>
      </c>
      <c r="K87" s="196"/>
      <c r="L87" s="197">
        <v>2020</v>
      </c>
      <c r="M87" s="44"/>
      <c r="N87" s="198" t="str">
        <f>VLOOKUP(P87,budget!$A$2:$C$96,3,0)</f>
        <v>ჯანდაცვა</v>
      </c>
      <c r="O87" s="199"/>
      <c r="P87" s="200" t="s">
        <v>132</v>
      </c>
      <c r="Q87" s="198" t="str">
        <f>VLOOKUP(P87,budget!$A$2:$B$96,2,0)</f>
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</c>
      <c r="R87" s="201"/>
      <c r="S87" s="202"/>
      <c r="T87" s="113"/>
      <c r="U87" s="203"/>
      <c r="V87" s="203"/>
      <c r="W87" s="203"/>
      <c r="X87" s="78"/>
      <c r="Y87" s="28" t="str">
        <f t="shared" ref="Y87" si="20">IF(V87=0,"-",E87-V87)</f>
        <v>-</v>
      </c>
    </row>
    <row r="88" spans="1:26" s="204" customFormat="1" ht="27" customHeight="1">
      <c r="A88" s="264"/>
      <c r="B88" s="249"/>
      <c r="C88" s="265"/>
      <c r="D88" s="226" t="s">
        <v>32</v>
      </c>
      <c r="E88" s="125">
        <v>3562.3</v>
      </c>
      <c r="F88" s="137" t="s">
        <v>30</v>
      </c>
      <c r="G88" s="237" t="s">
        <v>397</v>
      </c>
      <c r="H88" s="92" t="str">
        <f>M88</f>
        <v>მე-10(1) მუხლ. მე-3 პუნქ. ”ბ” ქვეპ.</v>
      </c>
      <c r="I88" s="194" t="s">
        <v>435</v>
      </c>
      <c r="J88" s="195">
        <v>10</v>
      </c>
      <c r="K88" s="196"/>
      <c r="L88" s="197">
        <v>2020</v>
      </c>
      <c r="M88" s="44" t="s">
        <v>62</v>
      </c>
      <c r="N88" s="198" t="str">
        <f>VLOOKUP(P88,budget!$A$2:$C$96,3,0)</f>
        <v>ჯანდაცვა</v>
      </c>
      <c r="O88" s="199"/>
      <c r="P88" s="200" t="s">
        <v>132</v>
      </c>
      <c r="Q88" s="198" t="str">
        <f>VLOOKUP(P88,budget!$A$2:$B$96,2,0)</f>
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</c>
      <c r="R88" s="201"/>
      <c r="S88" s="202">
        <v>54</v>
      </c>
      <c r="T88" s="113">
        <f t="shared" si="0"/>
        <v>3562.3</v>
      </c>
      <c r="U88" s="203"/>
      <c r="V88" s="203">
        <v>3562.3</v>
      </c>
      <c r="W88" s="203"/>
      <c r="X88" s="78" t="s">
        <v>541</v>
      </c>
      <c r="Y88" s="28">
        <f t="shared" si="1"/>
        <v>0</v>
      </c>
    </row>
    <row r="89" spans="1:26" ht="25.5" customHeight="1">
      <c r="A89" s="264"/>
      <c r="B89" s="249"/>
      <c r="C89" s="265"/>
      <c r="D89" s="226" t="s">
        <v>32</v>
      </c>
      <c r="E89" s="125">
        <v>1926</v>
      </c>
      <c r="F89" s="137" t="s">
        <v>30</v>
      </c>
      <c r="G89" s="237" t="s">
        <v>398</v>
      </c>
      <c r="H89" s="92" t="str">
        <f>M89</f>
        <v>მე-10(1) მუხლ. მე-3 პუნქ. ”ბ” ქვეპ.</v>
      </c>
      <c r="I89" s="101" t="s">
        <v>435</v>
      </c>
      <c r="J89" s="45">
        <v>15</v>
      </c>
      <c r="K89" s="116"/>
      <c r="L89" s="44">
        <v>2020</v>
      </c>
      <c r="M89" s="44" t="s">
        <v>62</v>
      </c>
      <c r="N89" s="47" t="str">
        <f>VLOOKUP(P89,budget!$A$2:$C$96,3,0)</f>
        <v>აპარატი</v>
      </c>
      <c r="O89" s="66"/>
      <c r="P89" s="46" t="s">
        <v>91</v>
      </c>
      <c r="Q89" s="47" t="str">
        <f>VLOOKUP(P89,budget!$A$2:$B$96,2,0)</f>
        <v>ქალაქ ბათუმის მუნიციპალიტეტის მერია</v>
      </c>
      <c r="R89" s="176"/>
      <c r="S89" s="208">
        <v>90</v>
      </c>
      <c r="T89" s="209"/>
      <c r="U89" s="209"/>
      <c r="V89" s="209">
        <v>1885.22</v>
      </c>
      <c r="W89" s="209"/>
      <c r="X89" s="78" t="s">
        <v>541</v>
      </c>
      <c r="Y89" s="28">
        <f t="shared" si="1"/>
        <v>40.779999999999973</v>
      </c>
      <c r="Z89" s="29"/>
    </row>
    <row r="90" spans="1:26" ht="25.5" customHeight="1">
      <c r="A90" s="264"/>
      <c r="B90" s="249"/>
      <c r="C90" s="265"/>
      <c r="D90" s="226" t="s">
        <v>266</v>
      </c>
      <c r="E90" s="125">
        <v>18000</v>
      </c>
      <c r="F90" s="137" t="s">
        <v>340</v>
      </c>
      <c r="G90" s="93" t="s">
        <v>394</v>
      </c>
      <c r="H90" s="92"/>
      <c r="I90" s="101" t="s">
        <v>489</v>
      </c>
      <c r="J90" s="45">
        <v>10</v>
      </c>
      <c r="K90" s="116"/>
      <c r="L90" s="44">
        <v>2020</v>
      </c>
      <c r="M90" s="44"/>
      <c r="N90" s="47" t="str">
        <f>VLOOKUP(P90,budget!$A$2:$C$96,3,0)</f>
        <v>ჯანდაცვა</v>
      </c>
      <c r="O90" s="66"/>
      <c r="P90" s="46" t="s">
        <v>132</v>
      </c>
      <c r="Q90" s="47" t="str">
        <f>VLOOKUP(P90,budget!$A$2:$B$96,2,0)</f>
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</c>
      <c r="R90" s="176"/>
      <c r="S90" s="112" t="s">
        <v>559</v>
      </c>
      <c r="T90" s="113">
        <f t="shared" si="0"/>
        <v>13046.5</v>
      </c>
      <c r="U90" s="113"/>
      <c r="V90" s="113">
        <f>8267.5+4779</f>
        <v>13046.5</v>
      </c>
      <c r="W90" s="113"/>
      <c r="X90" s="78" t="s">
        <v>560</v>
      </c>
      <c r="Y90" s="28">
        <f t="shared" si="1"/>
        <v>4953.5</v>
      </c>
      <c r="Z90" s="29"/>
    </row>
    <row r="91" spans="1:26" ht="25.5" customHeight="1">
      <c r="A91" s="264"/>
      <c r="B91" s="249"/>
      <c r="C91" s="265"/>
      <c r="D91" s="226" t="s">
        <v>88</v>
      </c>
      <c r="E91" s="125">
        <v>10000</v>
      </c>
      <c r="F91" s="137" t="s">
        <v>340</v>
      </c>
      <c r="G91" s="93" t="s">
        <v>394</v>
      </c>
      <c r="H91" s="92"/>
      <c r="I91" s="101" t="s">
        <v>489</v>
      </c>
      <c r="J91" s="45">
        <v>10</v>
      </c>
      <c r="K91" s="116"/>
      <c r="L91" s="44">
        <v>2020</v>
      </c>
      <c r="M91" s="44"/>
      <c r="N91" s="47" t="str">
        <f>VLOOKUP(P91,budget!$A$2:$C$96,3,0)</f>
        <v>ჯანდაცვა</v>
      </c>
      <c r="O91" s="66"/>
      <c r="P91" s="46" t="s">
        <v>132</v>
      </c>
      <c r="Q91" s="47" t="str">
        <f>VLOOKUP(P91,budget!$A$2:$B$96,2,0)</f>
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</c>
      <c r="R91" s="89"/>
      <c r="S91" s="112" t="s">
        <v>691</v>
      </c>
      <c r="T91" s="113">
        <f t="shared" ref="T91:T165" si="21">SUBTOTAL(9,U91:W91)</f>
        <v>8370</v>
      </c>
      <c r="U91" s="113"/>
      <c r="V91" s="113">
        <f>2700+5670</f>
        <v>8370</v>
      </c>
      <c r="W91" s="113"/>
      <c r="X91" s="78" t="s">
        <v>542</v>
      </c>
      <c r="Y91" s="28">
        <f t="shared" ref="Y91:Y165" si="22">IF(V91=0,"-",E91-V91)</f>
        <v>1630</v>
      </c>
      <c r="Z91" s="29"/>
    </row>
    <row r="92" spans="1:26" ht="25.5" customHeight="1">
      <c r="A92" s="264"/>
      <c r="B92" s="249"/>
      <c r="C92" s="265"/>
      <c r="D92" s="226" t="s">
        <v>553</v>
      </c>
      <c r="E92" s="125">
        <f>2300+540+980</f>
        <v>3820</v>
      </c>
      <c r="F92" s="137" t="s">
        <v>30</v>
      </c>
      <c r="G92" s="237" t="s">
        <v>398</v>
      </c>
      <c r="H92" s="92" t="str">
        <f>M92</f>
        <v>მე-10(1) მუხლ. მე-3 პუნქ. ”ბ” ქვეპ.</v>
      </c>
      <c r="I92" s="101" t="s">
        <v>722</v>
      </c>
      <c r="J92" s="45">
        <v>23</v>
      </c>
      <c r="K92" s="116"/>
      <c r="L92" s="44">
        <v>2020</v>
      </c>
      <c r="M92" s="44" t="s">
        <v>62</v>
      </c>
      <c r="N92" s="47" t="str">
        <f>VLOOKUP(P92,budget!$A$2:$C$96,3,0)</f>
        <v>აპარატი - მატერ-ტექნიკ.</v>
      </c>
      <c r="O92" s="66"/>
      <c r="P92" s="46" t="s">
        <v>239</v>
      </c>
      <c r="Q92" s="47" t="str">
        <f>VLOOKUP(P92,budget!$A$2:$B$96,2,0)</f>
        <v>ქალაქ ბათუმის მუნიციპალიტეტის მერია</v>
      </c>
      <c r="R92" s="176"/>
      <c r="S92" s="208" t="s">
        <v>623</v>
      </c>
      <c r="T92" s="209">
        <f t="shared" ref="T92" si="23">SUBTOTAL(9,U92:W92)</f>
        <v>2840</v>
      </c>
      <c r="U92" s="209"/>
      <c r="V92" s="209">
        <f>2300+540</f>
        <v>2840</v>
      </c>
      <c r="W92" s="209"/>
      <c r="X92" s="207" t="s">
        <v>540</v>
      </c>
      <c r="Y92" s="28">
        <f t="shared" ref="Y92" si="24">IF(V92=0,"-",E92-V92)</f>
        <v>980</v>
      </c>
      <c r="Z92" s="29"/>
    </row>
    <row r="93" spans="1:26" ht="25.5" customHeight="1">
      <c r="A93" s="264"/>
      <c r="B93" s="249"/>
      <c r="C93" s="265"/>
      <c r="D93" s="226" t="s">
        <v>655</v>
      </c>
      <c r="E93" s="125">
        <v>3000</v>
      </c>
      <c r="F93" s="137" t="s">
        <v>24</v>
      </c>
      <c r="G93" s="237" t="s">
        <v>653</v>
      </c>
      <c r="H93" s="92"/>
      <c r="I93" s="101" t="s">
        <v>435</v>
      </c>
      <c r="J93" s="45">
        <v>18</v>
      </c>
      <c r="K93" s="116"/>
      <c r="L93" s="44">
        <v>2020</v>
      </c>
      <c r="M93" s="44"/>
      <c r="N93" s="47" t="str">
        <f>VLOOKUP(P93,budget!$A$2:$C$96,3,0)</f>
        <v>აპარატი - მატერ-ტექნიკ.</v>
      </c>
      <c r="O93" s="66"/>
      <c r="P93" s="46" t="s">
        <v>239</v>
      </c>
      <c r="Q93" s="47" t="str">
        <f>VLOOKUP(P93,budget!$A$2:$B$96,2,0)</f>
        <v>ქალაქ ბათუმის მუნიციპალიტეტის მერია</v>
      </c>
      <c r="R93" s="176"/>
      <c r="S93" s="208"/>
      <c r="T93" s="209"/>
      <c r="U93" s="209"/>
      <c r="V93" s="209"/>
      <c r="W93" s="209"/>
      <c r="X93" s="207"/>
      <c r="Y93" s="28" t="str">
        <f t="shared" si="22"/>
        <v>-</v>
      </c>
      <c r="Z93" s="29"/>
    </row>
    <row r="94" spans="1:26" ht="36.75" customHeight="1">
      <c r="A94" s="264">
        <v>27</v>
      </c>
      <c r="B94" s="244">
        <v>33700000</v>
      </c>
      <c r="C94" s="246" t="s">
        <v>28</v>
      </c>
      <c r="D94" s="226" t="s">
        <v>275</v>
      </c>
      <c r="E94" s="125">
        <f>500</f>
        <v>500</v>
      </c>
      <c r="F94" s="91" t="s">
        <v>30</v>
      </c>
      <c r="G94" s="237" t="s">
        <v>397</v>
      </c>
      <c r="H94" s="92" t="str">
        <f>M94</f>
        <v>მე-3 მუხ. 1-ლი პუნქ. "ს" ქვეპუნ.</v>
      </c>
      <c r="I94" s="95"/>
      <c r="J94" s="45"/>
      <c r="K94" s="116"/>
      <c r="L94" s="21">
        <v>2020</v>
      </c>
      <c r="M94" s="44" t="s">
        <v>31</v>
      </c>
      <c r="N94" s="47" t="str">
        <f>VLOOKUP(P94,budget!$A$2:$C$96,3,0)</f>
        <v>აპარატი - მატერ-ტექნიკ.</v>
      </c>
      <c r="O94" s="66"/>
      <c r="P94" s="46" t="s">
        <v>239</v>
      </c>
      <c r="Q94" s="47" t="str">
        <f>VLOOKUP(P94,budget!$A$2:$B$96,2,0)</f>
        <v>ქალაქ ბათუმის მუნიციპალიტეტის მერია</v>
      </c>
      <c r="R94" s="50"/>
      <c r="S94" s="208">
        <v>22</v>
      </c>
      <c r="T94" s="209">
        <f t="shared" si="21"/>
        <v>500</v>
      </c>
      <c r="U94" s="209"/>
      <c r="V94" s="209">
        <v>500</v>
      </c>
      <c r="W94" s="209"/>
      <c r="X94" s="207" t="s">
        <v>464</v>
      </c>
      <c r="Y94" s="28">
        <f t="shared" si="22"/>
        <v>0</v>
      </c>
      <c r="Z94" s="29"/>
    </row>
    <row r="95" spans="1:26" ht="33.75" customHeight="1">
      <c r="A95" s="264"/>
      <c r="B95" s="244"/>
      <c r="C95" s="246"/>
      <c r="D95" s="226" t="s">
        <v>28</v>
      </c>
      <c r="E95" s="125">
        <f>300+400</f>
        <v>700</v>
      </c>
      <c r="F95" s="91" t="s">
        <v>30</v>
      </c>
      <c r="G95" s="237" t="s">
        <v>397</v>
      </c>
      <c r="H95" s="92" t="str">
        <f>M95</f>
        <v>მე-3 მუხ. 1-ლი პუნქ. "ს" ქვეპუნ.</v>
      </c>
      <c r="I95" s="48" t="s">
        <v>528</v>
      </c>
      <c r="J95" s="45">
        <v>9</v>
      </c>
      <c r="K95" s="115"/>
      <c r="L95" s="21">
        <v>2020</v>
      </c>
      <c r="M95" s="56" t="s">
        <v>31</v>
      </c>
      <c r="N95" s="47" t="str">
        <f>VLOOKUP(P95,budget!$A$2:$C$96,3,0)</f>
        <v>საკრებულო</v>
      </c>
      <c r="O95" s="51"/>
      <c r="P95" s="46" t="s">
        <v>343</v>
      </c>
      <c r="Q95" s="47" t="str">
        <f>VLOOKUP(P95,budget!$A$2:$B$96,2,0)</f>
        <v>ქალაქ ბათუმის მუნიციპალიტეტის საკრებულო</v>
      </c>
      <c r="R95" s="139"/>
      <c r="S95" s="133" t="s">
        <v>546</v>
      </c>
      <c r="T95" s="113">
        <f t="shared" si="21"/>
        <v>699.1</v>
      </c>
      <c r="U95" s="113"/>
      <c r="V95" s="113">
        <f>85+215+399.1</f>
        <v>699.1</v>
      </c>
      <c r="W95" s="113"/>
      <c r="X95" s="78" t="s">
        <v>547</v>
      </c>
      <c r="Y95" s="28">
        <f t="shared" si="22"/>
        <v>0.89999999999997726</v>
      </c>
      <c r="Z95" s="29"/>
    </row>
    <row r="96" spans="1:26" ht="33.75" customHeight="1">
      <c r="A96" s="264"/>
      <c r="B96" s="244"/>
      <c r="C96" s="246"/>
      <c r="D96" s="226" t="s">
        <v>512</v>
      </c>
      <c r="E96" s="125">
        <f>1930+1840</f>
        <v>3770</v>
      </c>
      <c r="F96" s="91" t="s">
        <v>30</v>
      </c>
      <c r="G96" s="237" t="s">
        <v>397</v>
      </c>
      <c r="H96" s="92" t="str">
        <f>M96</f>
        <v>მე-3 მუხ. 1-ლი პუნქ. "ს" ქვეპუნ.</v>
      </c>
      <c r="I96" s="156" t="s">
        <v>533</v>
      </c>
      <c r="J96" s="45">
        <v>10</v>
      </c>
      <c r="K96" s="190"/>
      <c r="L96" s="21">
        <v>2020</v>
      </c>
      <c r="M96" s="44" t="s">
        <v>31</v>
      </c>
      <c r="N96" s="47" t="str">
        <f>VLOOKUP(P96,[10]budget!$A$2:$C$104,3,0)</f>
        <v>აპარატი - მატერ-ტექნიკ.</v>
      </c>
      <c r="O96" s="66"/>
      <c r="P96" s="46" t="s">
        <v>239</v>
      </c>
      <c r="Q96" s="47" t="str">
        <f>VLOOKUP(P96,[10]budget!$A$2:$B$104,2,0)</f>
        <v>ქალაქ ბათუმის მუნიციპალიტეტის მერია</v>
      </c>
      <c r="R96" s="176"/>
      <c r="S96" s="205" t="s">
        <v>557</v>
      </c>
      <c r="T96" s="206">
        <f t="shared" si="21"/>
        <v>3770</v>
      </c>
      <c r="U96" s="206"/>
      <c r="V96" s="206">
        <f>1930+1840</f>
        <v>3770</v>
      </c>
      <c r="W96" s="206"/>
      <c r="X96" s="210" t="s">
        <v>540</v>
      </c>
      <c r="Y96" s="28">
        <f t="shared" si="22"/>
        <v>0</v>
      </c>
      <c r="Z96" s="29"/>
    </row>
    <row r="97" spans="1:26" ht="25.5" customHeight="1">
      <c r="A97" s="264">
        <v>28</v>
      </c>
      <c r="B97" s="249">
        <v>34300000</v>
      </c>
      <c r="C97" s="266" t="s">
        <v>185</v>
      </c>
      <c r="D97" s="226" t="s">
        <v>186</v>
      </c>
      <c r="E97" s="125">
        <v>5000</v>
      </c>
      <c r="F97" s="137" t="s">
        <v>106</v>
      </c>
      <c r="G97" s="237" t="s">
        <v>397</v>
      </c>
      <c r="H97" s="92"/>
      <c r="I97" s="95"/>
      <c r="J97" s="45"/>
      <c r="K97" s="118"/>
      <c r="L97" s="53">
        <v>2020</v>
      </c>
      <c r="M97" s="44"/>
      <c r="N97" s="47" t="str">
        <f>VLOOKUP(P97,budget!$A$2:$C$96,3,0)</f>
        <v>აპარატი - მატერ-ტექნიკ.</v>
      </c>
      <c r="O97" s="66"/>
      <c r="P97" s="46" t="s">
        <v>239</v>
      </c>
      <c r="Q97" s="47" t="str">
        <f>VLOOKUP(P97,budget!$A$2:$B$96,2,0)</f>
        <v>ქალაქ ბათუმის მუნიციპალიტეტის მერია</v>
      </c>
      <c r="R97" s="50"/>
      <c r="S97" s="112">
        <v>93</v>
      </c>
      <c r="T97" s="113">
        <f t="shared" si="21"/>
        <v>1380</v>
      </c>
      <c r="U97" s="113"/>
      <c r="V97" s="113">
        <v>1380</v>
      </c>
      <c r="W97" s="113"/>
      <c r="X97" s="78" t="s">
        <v>628</v>
      </c>
      <c r="Y97" s="28">
        <f t="shared" si="22"/>
        <v>3620</v>
      </c>
      <c r="Z97" s="29"/>
    </row>
    <row r="98" spans="1:26" ht="31.5" customHeight="1">
      <c r="A98" s="264"/>
      <c r="B98" s="249"/>
      <c r="C98" s="266"/>
      <c r="D98" s="226" t="s">
        <v>382</v>
      </c>
      <c r="E98" s="125">
        <f>5500-200-700</f>
        <v>4600</v>
      </c>
      <c r="F98" s="137" t="s">
        <v>106</v>
      </c>
      <c r="G98" s="237" t="s">
        <v>397</v>
      </c>
      <c r="H98" s="92"/>
      <c r="I98" s="95" t="s">
        <v>605</v>
      </c>
      <c r="J98" s="45">
        <v>14</v>
      </c>
      <c r="K98" s="118"/>
      <c r="L98" s="53">
        <v>2020</v>
      </c>
      <c r="M98" s="44"/>
      <c r="N98" s="47" t="str">
        <f>VLOOKUP(P98,budget!$A$2:$C$96,3,0)</f>
        <v>საკრებულო</v>
      </c>
      <c r="O98" s="66"/>
      <c r="P98" s="46" t="s">
        <v>343</v>
      </c>
      <c r="Q98" s="47" t="str">
        <f>VLOOKUP(P98,budget!$A$2:$B$96,2,0)</f>
        <v>ქალაქ ბათუმის მუნიციპალიტეტის საკრებულო</v>
      </c>
      <c r="R98" s="50"/>
      <c r="S98" s="112" t="s">
        <v>696</v>
      </c>
      <c r="T98" s="113">
        <f t="shared" ref="T98" si="25">SUBTOTAL(9,U98:W98)</f>
        <v>2300</v>
      </c>
      <c r="U98" s="113"/>
      <c r="V98" s="113">
        <f>460+460+460+920</f>
        <v>2300</v>
      </c>
      <c r="W98" s="113"/>
      <c r="X98" s="78" t="s">
        <v>645</v>
      </c>
      <c r="Y98" s="28">
        <f t="shared" ref="Y98" si="26">IF(V98=0,"-",E98-V98)</f>
        <v>2300</v>
      </c>
      <c r="Z98" s="29"/>
    </row>
    <row r="99" spans="1:26" ht="31.5" customHeight="1">
      <c r="A99" s="264"/>
      <c r="B99" s="249"/>
      <c r="C99" s="266"/>
      <c r="D99" s="226" t="s">
        <v>382</v>
      </c>
      <c r="E99" s="125">
        <v>700</v>
      </c>
      <c r="F99" s="137" t="s">
        <v>30</v>
      </c>
      <c r="G99" s="237" t="s">
        <v>398</v>
      </c>
      <c r="H99" s="92" t="str">
        <f>M99</f>
        <v>მე-10(1) მუხლ. მე-3 პუნქ. ”ბ” ქვეპ.</v>
      </c>
      <c r="I99" s="95" t="s">
        <v>435</v>
      </c>
      <c r="J99" s="45">
        <v>14</v>
      </c>
      <c r="K99" s="118"/>
      <c r="L99" s="53">
        <v>2020</v>
      </c>
      <c r="M99" s="44" t="s">
        <v>62</v>
      </c>
      <c r="N99" s="47" t="str">
        <f>VLOOKUP(P99,budget!$A$2:$C$96,3,0)</f>
        <v>საკრებულო</v>
      </c>
      <c r="O99" s="66"/>
      <c r="P99" s="46" t="s">
        <v>343</v>
      </c>
      <c r="Q99" s="47" t="str">
        <f>VLOOKUP(P99,budget!$A$2:$B$96,2,0)</f>
        <v>ქალაქ ბათუმის მუნიციპალიტეტის საკრებულო</v>
      </c>
      <c r="R99" s="50"/>
      <c r="S99" s="112">
        <v>82</v>
      </c>
      <c r="T99" s="113">
        <f t="shared" si="21"/>
        <v>700</v>
      </c>
      <c r="U99" s="113"/>
      <c r="V99" s="113">
        <v>700</v>
      </c>
      <c r="W99" s="113"/>
      <c r="X99" s="78" t="s">
        <v>619</v>
      </c>
      <c r="Y99" s="28">
        <f t="shared" si="22"/>
        <v>0</v>
      </c>
      <c r="Z99" s="29"/>
    </row>
    <row r="100" spans="1:26" ht="44.25" customHeight="1">
      <c r="A100" s="152">
        <v>29</v>
      </c>
      <c r="B100" s="235">
        <v>37800000</v>
      </c>
      <c r="C100" s="228" t="s">
        <v>513</v>
      </c>
      <c r="D100" s="226" t="s">
        <v>514</v>
      </c>
      <c r="E100" s="125">
        <v>0</v>
      </c>
      <c r="F100" s="137" t="s">
        <v>30</v>
      </c>
      <c r="G100" s="237" t="s">
        <v>397</v>
      </c>
      <c r="H100" s="92" t="str">
        <f>M100</f>
        <v>მე-3 მუხ. 1-ლი პუნქ. "ს" ქვეპუნ.</v>
      </c>
      <c r="I100" s="191" t="s">
        <v>592</v>
      </c>
      <c r="J100" s="45">
        <v>13</v>
      </c>
      <c r="K100" s="118"/>
      <c r="L100" s="53">
        <v>2020</v>
      </c>
      <c r="M100" s="56" t="s">
        <v>31</v>
      </c>
      <c r="N100" s="47" t="str">
        <f>VLOOKUP(P100,[10]budget!$A$2:$C$104,3,0)</f>
        <v>საკრებულო</v>
      </c>
      <c r="O100" s="66"/>
      <c r="P100" s="46" t="s">
        <v>343</v>
      </c>
      <c r="Q100" s="47" t="str">
        <f>VLOOKUP(P100,[10]budget!$A$2:$B$104,2,0)</f>
        <v>ქალაქ ბათუმის მუნიციპალიტეტის საკრებულო</v>
      </c>
      <c r="R100" s="50"/>
      <c r="T100" s="113">
        <f t="shared" si="21"/>
        <v>0</v>
      </c>
      <c r="U100" s="113"/>
      <c r="V100" s="113"/>
      <c r="W100" s="113"/>
      <c r="X100" s="112"/>
      <c r="Y100" s="28" t="str">
        <f t="shared" si="22"/>
        <v>-</v>
      </c>
      <c r="Z100" s="29"/>
    </row>
    <row r="101" spans="1:26" ht="30" customHeight="1">
      <c r="A101" s="152">
        <v>30</v>
      </c>
      <c r="B101" s="235">
        <v>38600000</v>
      </c>
      <c r="C101" s="228" t="s">
        <v>387</v>
      </c>
      <c r="D101" s="226" t="s">
        <v>388</v>
      </c>
      <c r="E101" s="125">
        <v>5000</v>
      </c>
      <c r="F101" s="91" t="s">
        <v>24</v>
      </c>
      <c r="G101" s="237" t="s">
        <v>397</v>
      </c>
      <c r="H101" s="92"/>
      <c r="I101" s="55" t="s">
        <v>448</v>
      </c>
      <c r="J101" s="45"/>
      <c r="K101" s="116"/>
      <c r="L101" s="21">
        <v>2020</v>
      </c>
      <c r="M101" s="44"/>
      <c r="N101" s="47" t="str">
        <f>VLOOKUP(P101,budget!$A$2:$C$96,3,0)</f>
        <v>საკრებულო</v>
      </c>
      <c r="O101" s="66"/>
      <c r="P101" s="46" t="s">
        <v>343</v>
      </c>
      <c r="Q101" s="47" t="str">
        <f>VLOOKUP(P101,budget!$A$2:$B$96,2,0)</f>
        <v>ქალაქ ბათუმის მუნიციპალიტეტის საკრებულო</v>
      </c>
      <c r="R101" s="50"/>
      <c r="S101" s="112"/>
      <c r="T101" s="113">
        <f t="shared" si="21"/>
        <v>0</v>
      </c>
      <c r="U101" s="113"/>
      <c r="V101" s="113"/>
      <c r="W101" s="113"/>
      <c r="X101" s="78"/>
      <c r="Y101" s="28" t="str">
        <f t="shared" si="22"/>
        <v>-</v>
      </c>
      <c r="Z101" s="29"/>
    </row>
    <row r="102" spans="1:26" ht="27" customHeight="1">
      <c r="A102" s="264">
        <v>31</v>
      </c>
      <c r="B102" s="249">
        <v>39100000</v>
      </c>
      <c r="C102" s="262" t="s">
        <v>97</v>
      </c>
      <c r="D102" s="226" t="s">
        <v>101</v>
      </c>
      <c r="E102" s="169">
        <v>10000</v>
      </c>
      <c r="F102" s="142" t="s">
        <v>24</v>
      </c>
      <c r="G102" s="144" t="s">
        <v>397</v>
      </c>
      <c r="H102" s="145"/>
      <c r="I102" s="94"/>
      <c r="J102" s="45"/>
      <c r="K102" s="116"/>
      <c r="L102" s="53">
        <v>2020</v>
      </c>
      <c r="M102" s="44"/>
      <c r="N102" s="47" t="str">
        <f>VLOOKUP(P102,budget!$A$2:$C$96,3,0)</f>
        <v>აპარატი - მატერ-ტექნიკ.</v>
      </c>
      <c r="O102" s="66"/>
      <c r="P102" s="46" t="s">
        <v>239</v>
      </c>
      <c r="Q102" s="47" t="str">
        <f>VLOOKUP(P102,budget!$A$2:$B$96,2,0)</f>
        <v>ქალაქ ბათუმის მუნიციპალიტეტის მერია</v>
      </c>
      <c r="R102" s="50" t="s">
        <v>175</v>
      </c>
      <c r="S102" s="112"/>
      <c r="T102" s="113">
        <f t="shared" si="21"/>
        <v>0</v>
      </c>
      <c r="U102" s="113"/>
      <c r="V102" s="113"/>
      <c r="W102" s="113"/>
      <c r="X102" s="78"/>
      <c r="Y102" s="28" t="str">
        <f t="shared" si="22"/>
        <v>-</v>
      </c>
      <c r="Z102" s="29"/>
    </row>
    <row r="103" spans="1:26" ht="27" customHeight="1">
      <c r="A103" s="264"/>
      <c r="B103" s="249"/>
      <c r="C103" s="262"/>
      <c r="D103" s="226" t="s">
        <v>101</v>
      </c>
      <c r="E103" s="169">
        <f>4000-2000</f>
        <v>2000</v>
      </c>
      <c r="F103" s="142" t="s">
        <v>24</v>
      </c>
      <c r="G103" s="144" t="s">
        <v>397</v>
      </c>
      <c r="H103" s="145"/>
      <c r="I103" s="103" t="s">
        <v>590</v>
      </c>
      <c r="J103" s="45">
        <v>13</v>
      </c>
      <c r="K103" s="116"/>
      <c r="L103" s="53">
        <v>2020</v>
      </c>
      <c r="M103" s="44"/>
      <c r="N103" s="47" t="str">
        <f>VLOOKUP(P103,budget!$A$2:$C$96,3,0)</f>
        <v>საკრებულო</v>
      </c>
      <c r="O103" s="66" t="s">
        <v>315</v>
      </c>
      <c r="P103" s="46" t="s">
        <v>343</v>
      </c>
      <c r="Q103" s="47" t="str">
        <f>VLOOKUP(P103,budget!$A$2:$B$96,2,0)</f>
        <v>ქალაქ ბათუმის მუნიციპალიტეტის საკრებულო</v>
      </c>
      <c r="R103" s="50" t="s">
        <v>175</v>
      </c>
      <c r="S103" s="112"/>
      <c r="T103" s="113">
        <f t="shared" si="21"/>
        <v>0</v>
      </c>
      <c r="U103" s="113"/>
      <c r="V103" s="113"/>
      <c r="W103" s="113"/>
      <c r="X103" s="78"/>
      <c r="Y103" s="28" t="str">
        <f t="shared" si="22"/>
        <v>-</v>
      </c>
      <c r="Z103" s="29"/>
    </row>
    <row r="104" spans="1:26" ht="33.75" customHeight="1">
      <c r="A104" s="152">
        <v>32</v>
      </c>
      <c r="B104" s="235">
        <v>39200000</v>
      </c>
      <c r="C104" s="229" t="s">
        <v>339</v>
      </c>
      <c r="D104" s="226" t="s">
        <v>339</v>
      </c>
      <c r="E104" s="125">
        <f>1000-500</f>
        <v>500</v>
      </c>
      <c r="F104" s="91" t="s">
        <v>30</v>
      </c>
      <c r="G104" s="237" t="s">
        <v>397</v>
      </c>
      <c r="H104" s="92" t="s">
        <v>31</v>
      </c>
      <c r="I104" s="103" t="s">
        <v>588</v>
      </c>
      <c r="J104" s="45">
        <v>13</v>
      </c>
      <c r="K104" s="116"/>
      <c r="L104" s="21">
        <v>2020</v>
      </c>
      <c r="M104" s="44"/>
      <c r="N104" s="47" t="str">
        <f>VLOOKUP(P104,budget!$A$2:$C$96,3,0)</f>
        <v>საკრებულო</v>
      </c>
      <c r="O104" s="66"/>
      <c r="P104" s="46" t="s">
        <v>343</v>
      </c>
      <c r="Q104" s="47" t="str">
        <f>VLOOKUP(P104,budget!$A$2:$B$96,2,0)</f>
        <v>ქალაქ ბათუმის მუნიციპალიტეტის საკრებულო</v>
      </c>
      <c r="R104" s="50"/>
      <c r="S104" s="112"/>
      <c r="T104" s="113">
        <f t="shared" ref="T104" si="27">SUBTOTAL(9,U104:W104)</f>
        <v>0</v>
      </c>
      <c r="U104" s="113"/>
      <c r="V104" s="113"/>
      <c r="W104" s="113"/>
      <c r="X104" s="78"/>
      <c r="Y104" s="28" t="str">
        <f t="shared" ref="Y104" si="28">IF(V104=0,"-",E104-V104)</f>
        <v>-</v>
      </c>
      <c r="Z104" s="29"/>
    </row>
    <row r="105" spans="1:26" ht="33.75" customHeight="1">
      <c r="A105" s="152">
        <v>33</v>
      </c>
      <c r="B105" s="235">
        <v>39300000</v>
      </c>
      <c r="C105" s="229" t="s">
        <v>608</v>
      </c>
      <c r="D105" s="226" t="s">
        <v>609</v>
      </c>
      <c r="E105" s="125">
        <v>425</v>
      </c>
      <c r="F105" s="91" t="s">
        <v>30</v>
      </c>
      <c r="G105" s="237" t="s">
        <v>397</v>
      </c>
      <c r="H105" s="92" t="str">
        <f>M105</f>
        <v>მე-10(1) მუხლ. მე-3 პუნქ. ”ბ” ქვეპ.</v>
      </c>
      <c r="I105" s="103" t="s">
        <v>435</v>
      </c>
      <c r="J105" s="45">
        <v>14</v>
      </c>
      <c r="K105" s="116"/>
      <c r="L105" s="21">
        <v>2020</v>
      </c>
      <c r="M105" s="44" t="s">
        <v>62</v>
      </c>
      <c r="N105" s="47" t="str">
        <f>VLOOKUP(P105,budget!$A$2:$C$96,3,0)</f>
        <v>აპარატი - მატერ-ტექნიკ.</v>
      </c>
      <c r="O105" s="66"/>
      <c r="P105" s="46" t="s">
        <v>239</v>
      </c>
      <c r="Q105" s="47" t="str">
        <f>VLOOKUP(P105,budget!$A$2:$B$96,2,0)</f>
        <v>ქალაქ ბათუმის მუნიციპალიტეტის მერია</v>
      </c>
      <c r="R105" s="50"/>
      <c r="S105" s="112">
        <v>87</v>
      </c>
      <c r="T105" s="113">
        <f t="shared" si="21"/>
        <v>425</v>
      </c>
      <c r="U105" s="113"/>
      <c r="V105" s="113">
        <v>425</v>
      </c>
      <c r="W105" s="113"/>
      <c r="X105" s="78" t="s">
        <v>540</v>
      </c>
      <c r="Y105" s="28">
        <f t="shared" si="22"/>
        <v>0</v>
      </c>
      <c r="Z105" s="29"/>
    </row>
    <row r="106" spans="1:26" ht="29.25" customHeight="1">
      <c r="A106" s="152">
        <v>34</v>
      </c>
      <c r="B106" s="235">
        <v>39500000</v>
      </c>
      <c r="C106" s="229" t="s">
        <v>349</v>
      </c>
      <c r="D106" s="226" t="s">
        <v>349</v>
      </c>
      <c r="E106" s="125">
        <f>2000-1379</f>
        <v>621</v>
      </c>
      <c r="F106" s="91" t="s">
        <v>24</v>
      </c>
      <c r="G106" s="237" t="s">
        <v>397</v>
      </c>
      <c r="H106" s="92"/>
      <c r="I106" s="48" t="s">
        <v>593</v>
      </c>
      <c r="J106" s="45">
        <v>13</v>
      </c>
      <c r="K106" s="115"/>
      <c r="L106" s="21">
        <v>2020</v>
      </c>
      <c r="M106" s="49"/>
      <c r="N106" s="47" t="str">
        <f>VLOOKUP(P106,budget!$A$2:$C$96,3,0)</f>
        <v>საკრებულო</v>
      </c>
      <c r="O106" s="66" t="s">
        <v>55</v>
      </c>
      <c r="P106" s="46" t="s">
        <v>343</v>
      </c>
      <c r="Q106" s="47" t="str">
        <f>VLOOKUP(P106,budget!$A$2:$B$96,2,0)</f>
        <v>ქალაქ ბათუმის მუნიციპალიტეტის საკრებულო</v>
      </c>
      <c r="R106" s="168"/>
      <c r="S106" s="133">
        <v>72</v>
      </c>
      <c r="T106" s="113">
        <f t="shared" si="21"/>
        <v>621</v>
      </c>
      <c r="U106" s="113"/>
      <c r="V106" s="113">
        <v>621</v>
      </c>
      <c r="W106" s="113"/>
      <c r="X106" s="78" t="s">
        <v>561</v>
      </c>
      <c r="Y106" s="28">
        <f t="shared" si="22"/>
        <v>0</v>
      </c>
      <c r="Z106" s="29"/>
    </row>
    <row r="107" spans="1:26" ht="29.25" customHeight="1">
      <c r="A107" s="152">
        <v>35</v>
      </c>
      <c r="B107" s="235">
        <v>39700000</v>
      </c>
      <c r="C107" s="229" t="s">
        <v>350</v>
      </c>
      <c r="D107" s="226" t="s">
        <v>350</v>
      </c>
      <c r="E107" s="125">
        <f>200-200</f>
        <v>0</v>
      </c>
      <c r="F107" s="91" t="s">
        <v>24</v>
      </c>
      <c r="G107" s="237" t="s">
        <v>397</v>
      </c>
      <c r="H107" s="92"/>
      <c r="I107" s="48" t="s">
        <v>594</v>
      </c>
      <c r="J107" s="45">
        <v>13</v>
      </c>
      <c r="K107" s="115"/>
      <c r="L107" s="21">
        <v>2020</v>
      </c>
      <c r="M107" s="49"/>
      <c r="N107" s="47" t="str">
        <f>VLOOKUP(P107,budget!$A$2:$C$96,3,0)</f>
        <v>საკრებულო</v>
      </c>
      <c r="O107" s="66"/>
      <c r="P107" s="46" t="s">
        <v>343</v>
      </c>
      <c r="Q107" s="47" t="str">
        <f>VLOOKUP(P107,budget!$A$2:$B$96,2,0)</f>
        <v>ქალაქ ბათუმის მუნიციპალიტეტის საკრებულო</v>
      </c>
      <c r="R107" s="168"/>
      <c r="S107" s="133"/>
      <c r="T107" s="113">
        <f t="shared" si="21"/>
        <v>0</v>
      </c>
      <c r="U107" s="113"/>
      <c r="V107" s="113"/>
      <c r="W107" s="113"/>
      <c r="X107" s="78"/>
      <c r="Y107" s="28" t="str">
        <f t="shared" si="22"/>
        <v>-</v>
      </c>
      <c r="Z107" s="29"/>
    </row>
    <row r="108" spans="1:26" ht="22.5" customHeight="1">
      <c r="A108" s="264">
        <v>36</v>
      </c>
      <c r="B108" s="244">
        <v>41100000</v>
      </c>
      <c r="C108" s="246" t="s">
        <v>153</v>
      </c>
      <c r="D108" s="226" t="s">
        <v>152</v>
      </c>
      <c r="E108" s="125">
        <f>5000-1460</f>
        <v>3540</v>
      </c>
      <c r="F108" s="91" t="s">
        <v>24</v>
      </c>
      <c r="G108" s="237" t="s">
        <v>397</v>
      </c>
      <c r="H108" s="92"/>
      <c r="I108" s="101" t="s">
        <v>680</v>
      </c>
      <c r="J108" s="45">
        <v>18</v>
      </c>
      <c r="K108" s="116"/>
      <c r="L108" s="53">
        <v>2020</v>
      </c>
      <c r="M108" s="44"/>
      <c r="N108" s="47" t="str">
        <f>VLOOKUP(P108,budget!$A$2:$C$96,3,0)</f>
        <v>აპარატი - მატერ-ტექნიკ.</v>
      </c>
      <c r="O108" s="66" t="s">
        <v>55</v>
      </c>
      <c r="P108" s="46" t="s">
        <v>239</v>
      </c>
      <c r="Q108" s="47" t="str">
        <f>VLOOKUP(P108,budget!$A$2:$B$96,2,0)</f>
        <v>ქალაქ ბათუმის მუნიციპალიტეტის მერია</v>
      </c>
      <c r="R108" s="50"/>
      <c r="S108" s="208">
        <v>59</v>
      </c>
      <c r="T108" s="209">
        <f t="shared" si="21"/>
        <v>3540</v>
      </c>
      <c r="U108" s="209"/>
      <c r="V108" s="209">
        <v>3540</v>
      </c>
      <c r="W108" s="209"/>
      <c r="X108" s="207" t="s">
        <v>545</v>
      </c>
      <c r="Y108" s="28">
        <f t="shared" si="22"/>
        <v>0</v>
      </c>
      <c r="Z108" s="29"/>
    </row>
    <row r="109" spans="1:26" ht="21.75" customHeight="1">
      <c r="A109" s="264"/>
      <c r="B109" s="244"/>
      <c r="C109" s="246"/>
      <c r="D109" s="226" t="s">
        <v>152</v>
      </c>
      <c r="E109" s="125"/>
      <c r="F109" s="137" t="s">
        <v>24</v>
      </c>
      <c r="G109" s="237" t="s">
        <v>397</v>
      </c>
      <c r="H109" s="92"/>
      <c r="I109" s="48" t="s">
        <v>714</v>
      </c>
      <c r="J109" s="45">
        <v>22</v>
      </c>
      <c r="K109" s="115"/>
      <c r="L109" s="21">
        <v>2020</v>
      </c>
      <c r="M109" s="49"/>
      <c r="N109" s="47" t="str">
        <f>VLOOKUP(P109,budget!$A$2:$C$96,3,0)</f>
        <v>საკრებულო</v>
      </c>
      <c r="O109" s="66"/>
      <c r="P109" s="46" t="s">
        <v>343</v>
      </c>
      <c r="Q109" s="47" t="str">
        <f>VLOOKUP(P109,budget!$A$2:$B$96,2,0)</f>
        <v>ქალაქ ბათუმის მუნიციპალიტეტის საკრებულო</v>
      </c>
      <c r="R109" s="139"/>
      <c r="S109" s="133"/>
      <c r="T109" s="113">
        <f t="shared" si="21"/>
        <v>0</v>
      </c>
      <c r="U109" s="113"/>
      <c r="V109" s="113"/>
      <c r="W109" s="113"/>
      <c r="X109" s="78"/>
      <c r="Y109" s="28" t="str">
        <f t="shared" si="22"/>
        <v>-</v>
      </c>
      <c r="Z109" s="29"/>
    </row>
    <row r="110" spans="1:26" ht="29.25" customHeight="1">
      <c r="A110" s="264">
        <v>37</v>
      </c>
      <c r="B110" s="244">
        <v>42500000</v>
      </c>
      <c r="C110" s="263" t="s">
        <v>351</v>
      </c>
      <c r="D110" s="226" t="s">
        <v>352</v>
      </c>
      <c r="E110" s="125">
        <v>2480</v>
      </c>
      <c r="F110" s="91" t="s">
        <v>24</v>
      </c>
      <c r="G110" s="237" t="s">
        <v>397</v>
      </c>
      <c r="H110" s="92"/>
      <c r="I110" s="48" t="s">
        <v>435</v>
      </c>
      <c r="J110" s="45">
        <v>18</v>
      </c>
      <c r="K110" s="115"/>
      <c r="L110" s="21">
        <v>2020</v>
      </c>
      <c r="M110" s="49"/>
      <c r="N110" s="47" t="str">
        <f>VLOOKUP(P110,budget!$A$2:$C$96,3,0)</f>
        <v>აპარატი - მატერ-ტექნიკ.</v>
      </c>
      <c r="O110" s="66"/>
      <c r="P110" s="46" t="s">
        <v>239</v>
      </c>
      <c r="Q110" s="47" t="str">
        <f>VLOOKUP(P110,budget!$A$2:$B$96,2,0)</f>
        <v>ქალაქ ბათუმის მუნიციპალიტეტის მერია</v>
      </c>
      <c r="R110" s="176"/>
      <c r="S110" s="133"/>
      <c r="T110" s="113"/>
      <c r="U110" s="113"/>
      <c r="V110" s="113"/>
      <c r="W110" s="113"/>
      <c r="X110" s="78"/>
      <c r="Y110" s="28" t="str">
        <f t="shared" ref="Y110" si="29">IF(V110=0,"-",E110-V110)</f>
        <v>-</v>
      </c>
      <c r="Z110" s="29"/>
    </row>
    <row r="111" spans="1:26" ht="29.25" customHeight="1">
      <c r="A111" s="264"/>
      <c r="B111" s="244"/>
      <c r="C111" s="263"/>
      <c r="D111" s="226" t="s">
        <v>352</v>
      </c>
      <c r="E111" s="125">
        <f>5000-2500</f>
        <v>2500</v>
      </c>
      <c r="F111" s="91" t="s">
        <v>24</v>
      </c>
      <c r="G111" s="237" t="s">
        <v>397</v>
      </c>
      <c r="H111" s="92"/>
      <c r="I111" s="48" t="s">
        <v>595</v>
      </c>
      <c r="J111" s="45">
        <v>13</v>
      </c>
      <c r="K111" s="115"/>
      <c r="L111" s="21">
        <v>2020</v>
      </c>
      <c r="M111" s="49"/>
      <c r="N111" s="47" t="str">
        <f>VLOOKUP(P111,budget!$A$2:$C$96,3,0)</f>
        <v>საკრებულო</v>
      </c>
      <c r="O111" s="66"/>
      <c r="P111" s="46" t="s">
        <v>343</v>
      </c>
      <c r="Q111" s="47" t="str">
        <f>VLOOKUP(P111,budget!$A$2:$B$96,2,0)</f>
        <v>ქალაქ ბათუმის მუნიციპალიტეტის საკრებულო</v>
      </c>
      <c r="R111" s="159"/>
      <c r="S111" s="133"/>
      <c r="T111" s="113">
        <f t="shared" si="21"/>
        <v>0</v>
      </c>
      <c r="U111" s="113"/>
      <c r="V111" s="113"/>
      <c r="W111" s="113"/>
      <c r="X111" s="78"/>
      <c r="Y111" s="28" t="str">
        <f t="shared" si="22"/>
        <v>-</v>
      </c>
      <c r="Z111" s="29"/>
    </row>
    <row r="112" spans="1:26" ht="29.25" customHeight="1">
      <c r="A112" s="264">
        <v>38</v>
      </c>
      <c r="B112" s="244">
        <v>42900000</v>
      </c>
      <c r="C112" s="246" t="s">
        <v>383</v>
      </c>
      <c r="D112" s="226" t="s">
        <v>386</v>
      </c>
      <c r="E112" s="125">
        <v>19000</v>
      </c>
      <c r="F112" s="91" t="s">
        <v>24</v>
      </c>
      <c r="G112" s="237" t="s">
        <v>398</v>
      </c>
      <c r="H112" s="92"/>
      <c r="I112" s="48"/>
      <c r="J112" s="45"/>
      <c r="K112" s="115"/>
      <c r="L112" s="21">
        <v>2020</v>
      </c>
      <c r="M112" s="49"/>
      <c r="N112" s="47" t="str">
        <f>VLOOKUP(P112,budget!$A$2:$C$96,3,0)</f>
        <v>აპარატი - მატერ-ტექნიკ.</v>
      </c>
      <c r="O112" s="66"/>
      <c r="P112" s="46" t="s">
        <v>239</v>
      </c>
      <c r="Q112" s="47" t="str">
        <f>VLOOKUP(P112,budget!$A$2:$B$96,2,0)</f>
        <v>ქალაქ ბათუმის მუნიციპალიტეტის მერია</v>
      </c>
      <c r="R112" s="176"/>
      <c r="S112" s="208"/>
      <c r="T112" s="209">
        <f t="shared" ref="T112" si="30">SUBTOTAL(9,U112:W112)</f>
        <v>0</v>
      </c>
      <c r="U112" s="209"/>
      <c r="V112" s="209"/>
      <c r="W112" s="209"/>
      <c r="X112" s="207"/>
      <c r="Y112" s="28" t="str">
        <f t="shared" ref="Y112" si="31">IF(V112=0,"-",E112-V112)</f>
        <v>-</v>
      </c>
      <c r="Z112" s="29"/>
    </row>
    <row r="113" spans="1:26" ht="29.25" customHeight="1">
      <c r="A113" s="264"/>
      <c r="B113" s="244"/>
      <c r="C113" s="246"/>
      <c r="D113" s="226" t="s">
        <v>614</v>
      </c>
      <c r="E113" s="125">
        <v>225</v>
      </c>
      <c r="F113" s="91" t="s">
        <v>24</v>
      </c>
      <c r="G113" s="237" t="s">
        <v>398</v>
      </c>
      <c r="H113" s="92" t="str">
        <f>M113</f>
        <v>მე-10(1) მუხლ. მე-3 პუნქ. ”ბ” ქვეპ.</v>
      </c>
      <c r="I113" s="48" t="s">
        <v>435</v>
      </c>
      <c r="J113" s="45">
        <v>14</v>
      </c>
      <c r="K113" s="115"/>
      <c r="L113" s="21">
        <v>2020</v>
      </c>
      <c r="M113" s="44" t="s">
        <v>62</v>
      </c>
      <c r="N113" s="47" t="str">
        <f>VLOOKUP(P113,budget!$A$2:$C$96,3,0)</f>
        <v>აპარატი - მატერ-ტექნიკ.</v>
      </c>
      <c r="O113" s="66"/>
      <c r="P113" s="46" t="s">
        <v>239</v>
      </c>
      <c r="Q113" s="47" t="str">
        <f>VLOOKUP(P113,budget!$A$2:$B$96,2,0)</f>
        <v>ქალაქ ბათუმის მუნიციპალიტეტის მერია</v>
      </c>
      <c r="R113" s="159"/>
      <c r="S113" s="208">
        <v>87</v>
      </c>
      <c r="T113" s="209">
        <f t="shared" si="21"/>
        <v>225</v>
      </c>
      <c r="U113" s="209"/>
      <c r="V113" s="209">
        <v>225</v>
      </c>
      <c r="W113" s="209"/>
      <c r="X113" s="207" t="s">
        <v>540</v>
      </c>
      <c r="Y113" s="28">
        <f t="shared" si="22"/>
        <v>0</v>
      </c>
      <c r="Z113" s="29"/>
    </row>
    <row r="114" spans="1:26" ht="29.25" customHeight="1">
      <c r="A114" s="152">
        <v>39</v>
      </c>
      <c r="B114" s="237">
        <v>44100000</v>
      </c>
      <c r="C114" s="236" t="s">
        <v>530</v>
      </c>
      <c r="D114" s="226" t="s">
        <v>529</v>
      </c>
      <c r="E114" s="125">
        <v>1350</v>
      </c>
      <c r="F114" s="91" t="s">
        <v>30</v>
      </c>
      <c r="G114" s="237" t="s">
        <v>397</v>
      </c>
      <c r="H114" s="92" t="s">
        <v>31</v>
      </c>
      <c r="I114" s="101" t="s">
        <v>435</v>
      </c>
      <c r="J114" s="45">
        <v>9</v>
      </c>
      <c r="K114" s="116"/>
      <c r="L114" s="53">
        <v>2020</v>
      </c>
      <c r="M114" s="44" t="s">
        <v>62</v>
      </c>
      <c r="N114" s="47" t="str">
        <f>VLOOKUP(P114,budget!$A$2:$C$96,3,0)</f>
        <v>აპარატი - მატერ-ტექნიკ.</v>
      </c>
      <c r="O114" s="66"/>
      <c r="P114" s="46" t="s">
        <v>239</v>
      </c>
      <c r="Q114" s="47" t="str">
        <f>VLOOKUP(P114,budget!$A$2:$B$96,2,0)</f>
        <v>ქალაქ ბათუმის მუნიციპალიტეტის მერია</v>
      </c>
      <c r="R114" s="176"/>
      <c r="S114" s="208">
        <v>62</v>
      </c>
      <c r="T114" s="209">
        <f t="shared" si="21"/>
        <v>1350</v>
      </c>
      <c r="U114" s="209"/>
      <c r="V114" s="209">
        <v>1350</v>
      </c>
      <c r="W114" s="209"/>
      <c r="X114" s="207" t="s">
        <v>544</v>
      </c>
      <c r="Y114" s="28">
        <f t="shared" si="22"/>
        <v>0</v>
      </c>
      <c r="Z114" s="29"/>
    </row>
    <row r="115" spans="1:26" ht="38.25" customHeight="1">
      <c r="A115" s="264">
        <v>40</v>
      </c>
      <c r="B115" s="249">
        <v>44400000</v>
      </c>
      <c r="C115" s="262" t="s">
        <v>108</v>
      </c>
      <c r="D115" s="226" t="s">
        <v>109</v>
      </c>
      <c r="E115" s="125">
        <v>2500</v>
      </c>
      <c r="F115" s="91" t="s">
        <v>24</v>
      </c>
      <c r="G115" s="237" t="s">
        <v>397</v>
      </c>
      <c r="H115" s="92"/>
      <c r="I115" s="66"/>
      <c r="J115" s="45"/>
      <c r="K115" s="116"/>
      <c r="L115" s="53">
        <v>2020</v>
      </c>
      <c r="M115" s="44"/>
      <c r="N115" s="47" t="str">
        <f>VLOOKUP(P115,budget!$A$2:$C$96,3,0)</f>
        <v>აპარატი - მატერ-ტექნიკ.</v>
      </c>
      <c r="O115" s="66"/>
      <c r="P115" s="46" t="s">
        <v>239</v>
      </c>
      <c r="Q115" s="47" t="str">
        <f>VLOOKUP(P115,budget!$A$2:$B$96,2,0)</f>
        <v>ქალაქ ბათუმის მუნიციპალიტეტის მერია</v>
      </c>
      <c r="R115" s="50"/>
      <c r="S115" s="112"/>
      <c r="T115" s="113">
        <f t="shared" ref="T115" si="32">SUBTOTAL(9,U115:W115)</f>
        <v>0</v>
      </c>
      <c r="U115" s="113"/>
      <c r="V115" s="113"/>
      <c r="W115" s="113"/>
      <c r="X115" s="78"/>
      <c r="Y115" s="28" t="str">
        <f t="shared" ref="Y115" si="33">IF(V115=0,"-",E115-V115)</f>
        <v>-</v>
      </c>
      <c r="Z115" s="29"/>
    </row>
    <row r="116" spans="1:26" ht="38.25" customHeight="1">
      <c r="A116" s="264"/>
      <c r="B116" s="249"/>
      <c r="C116" s="262"/>
      <c r="D116" s="226" t="s">
        <v>634</v>
      </c>
      <c r="E116" s="125">
        <v>120</v>
      </c>
      <c r="F116" s="91" t="s">
        <v>30</v>
      </c>
      <c r="G116" s="237" t="s">
        <v>398</v>
      </c>
      <c r="H116" s="92" t="str">
        <f>M116</f>
        <v>მე-9 მუხლ. მე-3(1) პუნქტი ”ა” ქვეპ..</v>
      </c>
      <c r="I116" s="66" t="s">
        <v>435</v>
      </c>
      <c r="J116" s="45">
        <v>16</v>
      </c>
      <c r="K116" s="116"/>
      <c r="L116" s="53">
        <v>2020</v>
      </c>
      <c r="M116" s="44" t="s">
        <v>338</v>
      </c>
      <c r="N116" s="47" t="str">
        <f>VLOOKUP(P116,budget!$A$2:$C$96,3,0)</f>
        <v>აპარატი - მატერ-ტექნიკ.</v>
      </c>
      <c r="O116" s="66"/>
      <c r="P116" s="46" t="s">
        <v>239</v>
      </c>
      <c r="Q116" s="47" t="str">
        <f>VLOOKUP(P116,budget!$A$2:$B$96,2,0)</f>
        <v>ქალაქ ბათუმის მუნიციპალიტეტის მერია</v>
      </c>
      <c r="R116" s="50"/>
      <c r="S116" s="112">
        <v>96</v>
      </c>
      <c r="T116" s="113">
        <f t="shared" si="21"/>
        <v>120</v>
      </c>
      <c r="U116" s="113"/>
      <c r="V116" s="113">
        <v>120</v>
      </c>
      <c r="W116" s="113"/>
      <c r="X116" s="78" t="s">
        <v>644</v>
      </c>
      <c r="Y116" s="28">
        <f t="shared" si="22"/>
        <v>0</v>
      </c>
      <c r="Z116" s="29"/>
    </row>
    <row r="117" spans="1:26" ht="24.75" customHeight="1">
      <c r="A117" s="264">
        <v>41</v>
      </c>
      <c r="B117" s="249">
        <v>44500000</v>
      </c>
      <c r="C117" s="267" t="s">
        <v>47</v>
      </c>
      <c r="D117" s="226" t="s">
        <v>110</v>
      </c>
      <c r="E117" s="125">
        <v>2000</v>
      </c>
      <c r="F117" s="137" t="s">
        <v>30</v>
      </c>
      <c r="G117" s="237" t="s">
        <v>397</v>
      </c>
      <c r="H117" s="92" t="str">
        <f>M117</f>
        <v>მე-3 მუხ. 1-ლი პუნქ. "ს" ქვეპუნ.</v>
      </c>
      <c r="I117" s="66"/>
      <c r="J117" s="45"/>
      <c r="K117" s="116"/>
      <c r="L117" s="21">
        <v>2020</v>
      </c>
      <c r="M117" s="44" t="s">
        <v>31</v>
      </c>
      <c r="N117" s="47" t="str">
        <f>VLOOKUP(P117,budget!$A$2:$C$96,3,0)</f>
        <v>აპარატი - მატერ-ტექნიკ.</v>
      </c>
      <c r="O117" s="66"/>
      <c r="P117" s="46" t="s">
        <v>239</v>
      </c>
      <c r="Q117" s="47" t="str">
        <f>VLOOKUP(P117,budget!$A$2:$B$96,2,0)</f>
        <v>ქალაქ ბათუმის მუნიციპალიტეტის მერია</v>
      </c>
      <c r="R117" s="50"/>
      <c r="S117" s="208">
        <v>10</v>
      </c>
      <c r="T117" s="209">
        <f t="shared" si="21"/>
        <v>2000</v>
      </c>
      <c r="U117" s="209"/>
      <c r="V117" s="209">
        <v>2000</v>
      </c>
      <c r="W117" s="209"/>
      <c r="X117" s="207" t="s">
        <v>454</v>
      </c>
      <c r="Y117" s="28">
        <f t="shared" si="22"/>
        <v>0</v>
      </c>
      <c r="Z117" s="29"/>
    </row>
    <row r="118" spans="1:26" ht="29.25" customHeight="1">
      <c r="A118" s="264"/>
      <c r="B118" s="249"/>
      <c r="C118" s="267"/>
      <c r="D118" s="226" t="s">
        <v>110</v>
      </c>
      <c r="E118" s="125">
        <f>500-200</f>
        <v>300</v>
      </c>
      <c r="F118" s="91" t="s">
        <v>30</v>
      </c>
      <c r="G118" s="237" t="s">
        <v>342</v>
      </c>
      <c r="H118" s="92" t="str">
        <f>M118</f>
        <v>მე-3 მუხ. 1-ლი პუნქ. "ს" ქვეპუნ.</v>
      </c>
      <c r="I118" s="48" t="s">
        <v>594</v>
      </c>
      <c r="J118" s="45">
        <v>13</v>
      </c>
      <c r="K118" s="115"/>
      <c r="L118" s="21">
        <v>2020</v>
      </c>
      <c r="M118" s="56" t="s">
        <v>31</v>
      </c>
      <c r="N118" s="47" t="str">
        <f>VLOOKUP(P118,budget!$A$2:$C$96,3,0)</f>
        <v>საკრებულო</v>
      </c>
      <c r="O118" s="51"/>
      <c r="P118" s="46" t="s">
        <v>343</v>
      </c>
      <c r="Q118" s="47" t="str">
        <f>VLOOKUP(P118,budget!$A$2:$B$96,2,0)</f>
        <v>ქალაქ ბათუმის მუნიციპალიტეტის საკრებულო</v>
      </c>
      <c r="R118" s="139"/>
      <c r="S118" s="133"/>
      <c r="T118" s="113">
        <f t="shared" si="21"/>
        <v>0</v>
      </c>
      <c r="U118" s="113"/>
      <c r="V118" s="113"/>
      <c r="W118" s="113"/>
      <c r="X118" s="78"/>
      <c r="Y118" s="28" t="str">
        <f t="shared" si="22"/>
        <v>-</v>
      </c>
      <c r="Z118" s="29"/>
    </row>
    <row r="119" spans="1:26" ht="29.25" customHeight="1">
      <c r="A119" s="152">
        <v>42</v>
      </c>
      <c r="B119" s="235">
        <v>44800000</v>
      </c>
      <c r="C119" s="229" t="s">
        <v>515</v>
      </c>
      <c r="D119" s="226" t="s">
        <v>516</v>
      </c>
      <c r="E119" s="125">
        <v>400</v>
      </c>
      <c r="F119" s="91" t="s">
        <v>30</v>
      </c>
      <c r="G119" s="237" t="s">
        <v>397</v>
      </c>
      <c r="H119" s="92" t="str">
        <f>M119</f>
        <v>მე-3 მუხ. 1-ლი პუნქ. "ს" ქვეპუნ.</v>
      </c>
      <c r="I119" s="66" t="s">
        <v>435</v>
      </c>
      <c r="J119" s="45">
        <v>8</v>
      </c>
      <c r="K119" s="116"/>
      <c r="L119" s="53">
        <v>2020</v>
      </c>
      <c r="M119" s="44" t="s">
        <v>31</v>
      </c>
      <c r="N119" s="47" t="e">
        <f>VLOOKUP(#REF!,[10]budget!$A$2:$C$104,3,0)</f>
        <v>#REF!</v>
      </c>
      <c r="O119" s="51"/>
      <c r="P119" s="46" t="s">
        <v>343</v>
      </c>
      <c r="Q119" s="47" t="str">
        <f>VLOOKUP(P119,budget!$A$2:$B$96,2,0)</f>
        <v>ქალაქ ბათუმის მუნიციპალიტეტის საკრებულო</v>
      </c>
      <c r="R119" s="176"/>
      <c r="S119" s="133"/>
      <c r="T119" s="113">
        <f t="shared" si="21"/>
        <v>0</v>
      </c>
      <c r="U119" s="113"/>
      <c r="V119" s="113"/>
      <c r="W119" s="113"/>
      <c r="X119" s="78"/>
      <c r="Y119" s="28" t="str">
        <f t="shared" si="22"/>
        <v>-</v>
      </c>
      <c r="Z119" s="29"/>
    </row>
    <row r="120" spans="1:26" ht="48">
      <c r="A120" s="152">
        <v>43</v>
      </c>
      <c r="B120" s="235">
        <v>45200000</v>
      </c>
      <c r="C120" s="268" t="s">
        <v>517</v>
      </c>
      <c r="D120" s="192" t="s">
        <v>518</v>
      </c>
      <c r="E120" s="125">
        <f>1574011-1108428.75-87788.63</f>
        <v>377793.62</v>
      </c>
      <c r="F120" s="137" t="s">
        <v>24</v>
      </c>
      <c r="G120" s="237" t="s">
        <v>519</v>
      </c>
      <c r="H120" s="92" t="str">
        <f>IF(L120=2018,M120,CONCATENATE(M120," მრავალწ. შესყიდ. ",L120," წ.წ. - შესყიდვის საერთო თანხა ",K120))</f>
        <v xml:space="preserve"> მრავალწ. შესყიდ. 2015-2020 წ.წ. - შესყიდვის საერთო თანხა 17547547,63</v>
      </c>
      <c r="I120" s="184" t="s">
        <v>639</v>
      </c>
      <c r="J120" s="45">
        <v>17</v>
      </c>
      <c r="K120" s="116">
        <v>17547547.629999999</v>
      </c>
      <c r="L120" s="21" t="s">
        <v>520</v>
      </c>
      <c r="M120" s="44"/>
      <c r="N120" s="47" t="str">
        <f>VLOOKUP(P120,[8]budget!$A$2:$C$104,3,0)</f>
        <v>კეთილმოწყობა</v>
      </c>
      <c r="O120" s="66" t="s">
        <v>55</v>
      </c>
      <c r="P120" s="46" t="s">
        <v>177</v>
      </c>
      <c r="Q120" s="47" t="str">
        <f>VLOOKUP(P120,[8]budget!$A$2:$B$104,2,0)</f>
        <v>საგზაო ინფრასტრუქტურის რეაბილიტაცია და კაპიტალური მშენებლობა</v>
      </c>
      <c r="R120" s="176"/>
      <c r="S120" s="133"/>
      <c r="T120" s="113">
        <f t="shared" si="21"/>
        <v>0</v>
      </c>
      <c r="U120" s="113"/>
      <c r="V120" s="113"/>
      <c r="W120" s="113"/>
      <c r="X120" s="78"/>
      <c r="Y120" s="28" t="str">
        <f t="shared" si="22"/>
        <v>-</v>
      </c>
      <c r="Z120" s="29"/>
    </row>
    <row r="121" spans="1:26" ht="29.25" customHeight="1">
      <c r="A121" s="269">
        <v>44</v>
      </c>
      <c r="B121" s="249">
        <v>45400000</v>
      </c>
      <c r="C121" s="262" t="s">
        <v>100</v>
      </c>
      <c r="D121" s="226" t="s">
        <v>100</v>
      </c>
      <c r="E121" s="125">
        <f>5700-5700</f>
        <v>0</v>
      </c>
      <c r="F121" s="91" t="s">
        <v>24</v>
      </c>
      <c r="G121" s="237" t="s">
        <v>397</v>
      </c>
      <c r="H121" s="92"/>
      <c r="I121" s="48" t="s">
        <v>596</v>
      </c>
      <c r="J121" s="45">
        <v>13</v>
      </c>
      <c r="K121" s="115"/>
      <c r="L121" s="21">
        <v>2020</v>
      </c>
      <c r="M121" s="49"/>
      <c r="N121" s="47" t="str">
        <f>VLOOKUP(P121,budget!$A$2:$C$96,3,0)</f>
        <v>საკრებულო</v>
      </c>
      <c r="O121" s="66"/>
      <c r="P121" s="46" t="s">
        <v>343</v>
      </c>
      <c r="Q121" s="47" t="str">
        <f>VLOOKUP(P121,budget!$A$2:$B$96,2,0)</f>
        <v>ქალაქ ბათუმის მუნიციპალიტეტის საკრებულო</v>
      </c>
      <c r="R121" s="139"/>
      <c r="S121" s="133"/>
      <c r="T121" s="113">
        <f t="shared" si="21"/>
        <v>0</v>
      </c>
      <c r="U121" s="113"/>
      <c r="V121" s="113"/>
      <c r="W121" s="113"/>
      <c r="X121" s="78"/>
      <c r="Y121" s="28" t="str">
        <f t="shared" si="22"/>
        <v>-</v>
      </c>
      <c r="Z121" s="29"/>
    </row>
    <row r="122" spans="1:26" ht="51.75" customHeight="1">
      <c r="A122" s="269"/>
      <c r="B122" s="249"/>
      <c r="C122" s="262"/>
      <c r="D122" s="226" t="s">
        <v>521</v>
      </c>
      <c r="E122" s="125">
        <v>950</v>
      </c>
      <c r="F122" s="91" t="s">
        <v>30</v>
      </c>
      <c r="G122" s="237" t="s">
        <v>397</v>
      </c>
      <c r="H122" s="92" t="str">
        <f>M122</f>
        <v>მე-10(1) მუხლ. მე-3 პუნქ. ”ბ” ქვეპ.</v>
      </c>
      <c r="I122" s="48" t="s">
        <v>489</v>
      </c>
      <c r="J122" s="45">
        <v>9</v>
      </c>
      <c r="K122" s="115"/>
      <c r="L122" s="21">
        <v>2020</v>
      </c>
      <c r="M122" s="44" t="s">
        <v>62</v>
      </c>
      <c r="N122" s="47" t="str">
        <f>VLOOKUP(P122,[10]budget!$A$2:$C$104,3,0)</f>
        <v>აპარატი - მატერ-ტექნიკ.</v>
      </c>
      <c r="O122" s="66"/>
      <c r="P122" s="46" t="s">
        <v>239</v>
      </c>
      <c r="Q122" s="47" t="str">
        <f>VLOOKUP(P122,[10]budget!$A$2:$B$104,2,0)</f>
        <v>ქალაქ ბათუმის მუნიციპალიტეტის მერია</v>
      </c>
      <c r="R122" s="176"/>
      <c r="S122" s="205">
        <v>58</v>
      </c>
      <c r="T122" s="206">
        <f t="shared" ref="T122" si="34">SUBTOTAL(9,U122:W122)</f>
        <v>950</v>
      </c>
      <c r="U122" s="206"/>
      <c r="V122" s="206">
        <v>950</v>
      </c>
      <c r="W122" s="206"/>
      <c r="X122" s="210" t="s">
        <v>544</v>
      </c>
      <c r="Y122" s="28">
        <f t="shared" ref="Y122" si="35">IF(V122=0,"-",E122-V122)</f>
        <v>0</v>
      </c>
      <c r="Z122" s="29"/>
    </row>
    <row r="123" spans="1:26" ht="51.75" customHeight="1">
      <c r="A123" s="269"/>
      <c r="B123" s="249"/>
      <c r="C123" s="262"/>
      <c r="D123" s="226" t="s">
        <v>656</v>
      </c>
      <c r="E123" s="125">
        <v>950</v>
      </c>
      <c r="F123" s="91" t="s">
        <v>30</v>
      </c>
      <c r="G123" s="237" t="s">
        <v>653</v>
      </c>
      <c r="H123" s="92" t="str">
        <f>M123</f>
        <v>მე-3 მუხ. 1-ლი პუნქ. "ს" ქვეპუნ.</v>
      </c>
      <c r="I123" s="48" t="s">
        <v>435</v>
      </c>
      <c r="J123" s="45">
        <v>18</v>
      </c>
      <c r="K123" s="115"/>
      <c r="L123" s="21">
        <v>2020</v>
      </c>
      <c r="M123" s="44" t="s">
        <v>31</v>
      </c>
      <c r="N123" s="47" t="str">
        <f>VLOOKUP(P123,[10]budget!$A$2:$C$104,3,0)</f>
        <v>აპარატი - მატერ-ტექნიკ.</v>
      </c>
      <c r="O123" s="66"/>
      <c r="P123" s="46" t="s">
        <v>239</v>
      </c>
      <c r="Q123" s="47" t="str">
        <f>VLOOKUP(P123,[10]budget!$A$2:$B$104,2,0)</f>
        <v>ქალაქ ბათუმის მუნიციპალიტეტის მერია</v>
      </c>
      <c r="R123" s="176"/>
      <c r="S123" s="205">
        <v>108</v>
      </c>
      <c r="T123" s="206"/>
      <c r="U123" s="206"/>
      <c r="V123" s="206">
        <v>949.99</v>
      </c>
      <c r="W123" s="206"/>
      <c r="X123" s="210" t="s">
        <v>693</v>
      </c>
      <c r="Y123" s="28">
        <f t="shared" si="22"/>
        <v>9.9999999999909051E-3</v>
      </c>
      <c r="Z123" s="29"/>
    </row>
    <row r="124" spans="1:26" ht="33.75" customHeight="1">
      <c r="A124" s="270">
        <v>45</v>
      </c>
      <c r="B124" s="235">
        <v>48200000</v>
      </c>
      <c r="C124" s="229" t="s">
        <v>615</v>
      </c>
      <c r="D124" s="226" t="s">
        <v>616</v>
      </c>
      <c r="E124" s="125">
        <v>750</v>
      </c>
      <c r="F124" s="91" t="s">
        <v>30</v>
      </c>
      <c r="G124" s="237" t="s">
        <v>398</v>
      </c>
      <c r="H124" s="92" t="str">
        <f>M124</f>
        <v>მე-3 მუხ. 1-ლი პუნქ. "ს" ქვეპუნ.</v>
      </c>
      <c r="I124" s="66" t="s">
        <v>435</v>
      </c>
      <c r="J124" s="45">
        <v>15</v>
      </c>
      <c r="K124" s="116"/>
      <c r="L124" s="21">
        <v>2020</v>
      </c>
      <c r="M124" s="44" t="s">
        <v>31</v>
      </c>
      <c r="N124" s="47" t="str">
        <f>VLOOKUP(P124,[9]budget!$A$2:$C$104,3,0)</f>
        <v>აპარატი - მატერ-ტექნიკ.</v>
      </c>
      <c r="O124" s="66" t="s">
        <v>58</v>
      </c>
      <c r="P124" s="48" t="s">
        <v>239</v>
      </c>
      <c r="Q124" s="47" t="str">
        <f>VLOOKUP(P124,[9]budget!$A$2:$B$104,2,0)</f>
        <v>ქალაქ ბათუმის მუნიციპალიტეტის მერია</v>
      </c>
      <c r="R124" s="50"/>
      <c r="S124" s="112">
        <v>91</v>
      </c>
      <c r="T124" s="222"/>
      <c r="U124" s="223"/>
      <c r="V124" s="113">
        <v>750</v>
      </c>
      <c r="W124" s="113"/>
      <c r="X124" s="224" t="s">
        <v>626</v>
      </c>
      <c r="Y124" s="28" t="str">
        <f t="shared" ref="Y124" si="36">IF(W124=0,"-",E124-W124)</f>
        <v>-</v>
      </c>
      <c r="Z124" s="29"/>
    </row>
    <row r="125" spans="1:26" ht="60">
      <c r="A125" s="235">
        <v>46</v>
      </c>
      <c r="B125" s="235">
        <v>48300000</v>
      </c>
      <c r="C125" s="229" t="s">
        <v>415</v>
      </c>
      <c r="D125" s="226" t="s">
        <v>37</v>
      </c>
      <c r="E125" s="125">
        <f>3000-600</f>
        <v>2400</v>
      </c>
      <c r="F125" s="91" t="s">
        <v>30</v>
      </c>
      <c r="G125" s="237" t="s">
        <v>394</v>
      </c>
      <c r="H125" s="92" t="str">
        <f>M125</f>
        <v>მე-3 მუხ. 1-ლი პუნქ. "ს" ქვეპუნ.</v>
      </c>
      <c r="I125" s="66"/>
      <c r="J125" s="45"/>
      <c r="K125" s="116"/>
      <c r="L125" s="21">
        <v>2020</v>
      </c>
      <c r="M125" s="44" t="s">
        <v>31</v>
      </c>
      <c r="N125" s="47" t="str">
        <f>budget!C17</f>
        <v>საკრებულო</v>
      </c>
      <c r="O125" s="66"/>
      <c r="P125" s="48" t="s">
        <v>343</v>
      </c>
      <c r="Q125" s="47" t="str">
        <f>VLOOKUP(P125,budget!$A$2:$B$96,2,0)</f>
        <v>ქალაქ ბათუმის მუნიციპალიტეტის საკრებულო</v>
      </c>
      <c r="R125" s="50"/>
      <c r="S125" s="208">
        <v>169</v>
      </c>
      <c r="T125" s="209">
        <f t="shared" si="21"/>
        <v>2400</v>
      </c>
      <c r="U125" s="209"/>
      <c r="V125" s="209">
        <v>2400</v>
      </c>
      <c r="W125" s="209"/>
      <c r="X125" s="207" t="s">
        <v>477</v>
      </c>
      <c r="Y125" s="28">
        <f t="shared" si="22"/>
        <v>0</v>
      </c>
      <c r="Z125" s="29"/>
    </row>
    <row r="126" spans="1:26" ht="45" customHeight="1">
      <c r="A126" s="244">
        <v>47</v>
      </c>
      <c r="B126" s="244">
        <v>48500000</v>
      </c>
      <c r="C126" s="262" t="s">
        <v>416</v>
      </c>
      <c r="D126" s="226" t="s">
        <v>436</v>
      </c>
      <c r="E126" s="125">
        <v>21600</v>
      </c>
      <c r="F126" s="91" t="s">
        <v>30</v>
      </c>
      <c r="G126" s="237" t="s">
        <v>397</v>
      </c>
      <c r="H126" s="92" t="str">
        <f>IF(L126=2020,M126,CONCATENATE(M126," მრავალწ. შესყიდ. ",L126," წ.წ. - შესყიდვის საერთო თანხა ",K126))</f>
        <v>მე-10(1) მუხლ. მე-3 პუნქ. ”ზ” ქვეპ.</v>
      </c>
      <c r="I126" s="66" t="s">
        <v>435</v>
      </c>
      <c r="J126" s="45">
        <v>1</v>
      </c>
      <c r="K126" s="116"/>
      <c r="L126" s="21">
        <v>2020</v>
      </c>
      <c r="M126" s="44" t="s">
        <v>63</v>
      </c>
      <c r="N126" s="47" t="str">
        <f>VLOOKUP(P126,budget!$A$2:$C$96,3,0)</f>
        <v>აპარატი - საქმისწარმოება</v>
      </c>
      <c r="O126" s="66" t="s">
        <v>316</v>
      </c>
      <c r="P126" s="48" t="s">
        <v>241</v>
      </c>
      <c r="Q126" s="47" t="str">
        <f>VLOOKUP(P126,budget!$A$2:$B$96,2,0)</f>
        <v>ქალაქ ბათუმის მუნიციპალიტეტის მერია</v>
      </c>
      <c r="R126" s="50"/>
      <c r="S126" s="112"/>
      <c r="T126" s="113">
        <f t="shared" si="21"/>
        <v>0</v>
      </c>
      <c r="U126" s="113"/>
      <c r="V126" s="113"/>
      <c r="W126" s="113"/>
      <c r="X126" s="78"/>
      <c r="Y126" s="28" t="str">
        <f t="shared" si="22"/>
        <v>-</v>
      </c>
      <c r="Z126" s="29"/>
    </row>
    <row r="127" spans="1:26" ht="45" customHeight="1">
      <c r="A127" s="244"/>
      <c r="B127" s="244"/>
      <c r="C127" s="262"/>
      <c r="D127" s="226" t="s">
        <v>380</v>
      </c>
      <c r="E127" s="125">
        <v>6600</v>
      </c>
      <c r="F127" s="91" t="s">
        <v>30</v>
      </c>
      <c r="G127" s="237" t="s">
        <v>397</v>
      </c>
      <c r="H127" s="92" t="str">
        <f>IF(L127=2020,M127,CONCATENATE(M127," მრავალწ. შესყიდ. ",L127," წ.წ. - შესყიდვის საერთო თანხა ",K127))</f>
        <v>მე-10(1) მუხლ. მე-3 პუნქ. ”ზ” ქვეპ.</v>
      </c>
      <c r="I127" s="66"/>
      <c r="J127" s="45"/>
      <c r="K127" s="116"/>
      <c r="L127" s="21">
        <v>2020</v>
      </c>
      <c r="M127" s="44" t="s">
        <v>63</v>
      </c>
      <c r="N127" s="47" t="str">
        <f>VLOOKUP(P127,budget!$A$2:$C$96,3,0)</f>
        <v>საკრებულო</v>
      </c>
      <c r="O127" s="66" t="s">
        <v>316</v>
      </c>
      <c r="P127" s="48" t="s">
        <v>343</v>
      </c>
      <c r="Q127" s="47" t="str">
        <f>VLOOKUP(P127,budget!$A$2:$B$96,2,0)</f>
        <v>ქალაქ ბათუმის მუნიციპალიტეტის საკრებულო</v>
      </c>
      <c r="R127" s="50"/>
      <c r="S127" s="112"/>
      <c r="T127" s="113">
        <f t="shared" si="21"/>
        <v>0</v>
      </c>
      <c r="U127" s="113"/>
      <c r="V127" s="113"/>
      <c r="W127" s="113"/>
      <c r="X127" s="78"/>
      <c r="Y127" s="28" t="str">
        <f t="shared" si="22"/>
        <v>-</v>
      </c>
      <c r="Z127" s="29"/>
    </row>
    <row r="128" spans="1:26" ht="45" customHeight="1">
      <c r="A128" s="244">
        <v>48</v>
      </c>
      <c r="B128" s="244">
        <v>48600000</v>
      </c>
      <c r="C128" s="262" t="s">
        <v>417</v>
      </c>
      <c r="D128" s="226" t="s">
        <v>441</v>
      </c>
      <c r="E128" s="125">
        <v>3500</v>
      </c>
      <c r="F128" s="91" t="s">
        <v>30</v>
      </c>
      <c r="G128" s="237" t="s">
        <v>397</v>
      </c>
      <c r="H128" s="92" t="str">
        <f>M128</f>
        <v>მე-10(1) მუხლ. მე-3 პუნქ. ”ზ” ქვეპ.</v>
      </c>
      <c r="I128" s="66" t="s">
        <v>435</v>
      </c>
      <c r="J128" s="45">
        <v>2</v>
      </c>
      <c r="K128" s="116"/>
      <c r="L128" s="21">
        <v>2020</v>
      </c>
      <c r="M128" s="44" t="s">
        <v>63</v>
      </c>
      <c r="N128" s="47" t="str">
        <f>VLOOKUP(P128,budget!$A$2:$C$96,3,0)</f>
        <v>აპარატი - იურიდიული</v>
      </c>
      <c r="O128" s="66" t="s">
        <v>316</v>
      </c>
      <c r="P128" s="48" t="s">
        <v>242</v>
      </c>
      <c r="Q128" s="47" t="str">
        <f>VLOOKUP(P128,budget!$A$2:$B$96,2,0)</f>
        <v>ქალაქ ბათუმის მუნიციპალიტეტის მერია</v>
      </c>
      <c r="R128" s="50"/>
      <c r="S128" s="112"/>
      <c r="T128" s="113">
        <f t="shared" si="21"/>
        <v>0</v>
      </c>
      <c r="U128" s="113"/>
      <c r="V128" s="113"/>
      <c r="W128" s="113"/>
      <c r="X128" s="78"/>
      <c r="Y128" s="28" t="str">
        <f t="shared" si="22"/>
        <v>-</v>
      </c>
      <c r="Z128" s="29"/>
    </row>
    <row r="129" spans="1:26" ht="33" customHeight="1">
      <c r="A129" s="244"/>
      <c r="B129" s="244"/>
      <c r="C129" s="262"/>
      <c r="D129" s="226" t="s">
        <v>390</v>
      </c>
      <c r="E129" s="125">
        <v>300</v>
      </c>
      <c r="F129" s="91" t="s">
        <v>30</v>
      </c>
      <c r="G129" s="237" t="s">
        <v>397</v>
      </c>
      <c r="H129" s="92" t="str">
        <f>M129</f>
        <v>მე-10(1) მუხლ. მე-3 პუნქ. ”ზ” ქვეპ.</v>
      </c>
      <c r="I129" s="66"/>
      <c r="J129" s="45"/>
      <c r="K129" s="116"/>
      <c r="L129" s="21">
        <v>2020</v>
      </c>
      <c r="M129" s="44" t="s">
        <v>63</v>
      </c>
      <c r="N129" s="47" t="str">
        <f>VLOOKUP(P129,budget!$A$2:$C$96,3,0)</f>
        <v>საკრებულო</v>
      </c>
      <c r="O129" s="66" t="s">
        <v>316</v>
      </c>
      <c r="P129" s="48" t="s">
        <v>343</v>
      </c>
      <c r="Q129" s="47" t="str">
        <f>VLOOKUP(P129,budget!$A$2:$B$96,2,0)</f>
        <v>ქალაქ ბათუმის მუნიციპალიტეტის საკრებულო</v>
      </c>
      <c r="R129" s="50"/>
      <c r="S129" s="112"/>
      <c r="T129" s="113">
        <f t="shared" si="21"/>
        <v>0</v>
      </c>
      <c r="U129" s="113"/>
      <c r="V129" s="113"/>
      <c r="W129" s="113"/>
      <c r="X129" s="78"/>
      <c r="Y129" s="28" t="str">
        <f t="shared" si="22"/>
        <v>-</v>
      </c>
      <c r="Z129" s="29"/>
    </row>
    <row r="130" spans="1:26" ht="27" customHeight="1">
      <c r="A130" s="244">
        <v>49</v>
      </c>
      <c r="B130" s="244">
        <v>48700000</v>
      </c>
      <c r="C130" s="262" t="s">
        <v>181</v>
      </c>
      <c r="D130" s="226" t="s">
        <v>353</v>
      </c>
      <c r="E130" s="125">
        <f>3500-3500</f>
        <v>0</v>
      </c>
      <c r="F130" s="91" t="s">
        <v>24</v>
      </c>
      <c r="G130" s="237" t="s">
        <v>397</v>
      </c>
      <c r="H130" s="92"/>
      <c r="I130" s="48" t="s">
        <v>597</v>
      </c>
      <c r="J130" s="45">
        <v>13</v>
      </c>
      <c r="K130" s="115"/>
      <c r="L130" s="21">
        <v>2020</v>
      </c>
      <c r="M130" s="49"/>
      <c r="N130" s="47" t="str">
        <f>VLOOKUP(P130,budget!$A$2:$C$96,3,0)</f>
        <v>საკრებულო</v>
      </c>
      <c r="O130" s="66"/>
      <c r="P130" s="46" t="s">
        <v>343</v>
      </c>
      <c r="Q130" s="47" t="str">
        <f>VLOOKUP(P130,budget!$A$2:$B$96,2,0)</f>
        <v>ქალაქ ბათუმის მუნიციპალიტეტის საკრებულო</v>
      </c>
      <c r="R130" s="139"/>
      <c r="S130" s="133"/>
      <c r="T130" s="113">
        <f t="shared" si="21"/>
        <v>0</v>
      </c>
      <c r="U130" s="113"/>
      <c r="V130" s="113"/>
      <c r="W130" s="113"/>
      <c r="X130" s="78"/>
      <c r="Y130" s="28" t="str">
        <f t="shared" si="22"/>
        <v>-</v>
      </c>
      <c r="Z130" s="29"/>
    </row>
    <row r="131" spans="1:26" ht="21.75" customHeight="1">
      <c r="A131" s="244"/>
      <c r="B131" s="244"/>
      <c r="C131" s="262"/>
      <c r="D131" s="226" t="s">
        <v>389</v>
      </c>
      <c r="E131" s="125">
        <v>7200</v>
      </c>
      <c r="F131" s="91" t="s">
        <v>24</v>
      </c>
      <c r="G131" s="237" t="s">
        <v>397</v>
      </c>
      <c r="H131" s="92"/>
      <c r="I131" s="48"/>
      <c r="J131" s="45"/>
      <c r="K131" s="115"/>
      <c r="L131" s="21">
        <v>2020</v>
      </c>
      <c r="M131" s="49"/>
      <c r="N131" s="47" t="str">
        <f>VLOOKUP(P131,budget!$A$2:$C$96,3,0)</f>
        <v>აპარატი - მატერ-ტექნიკ.</v>
      </c>
      <c r="O131" s="66"/>
      <c r="P131" s="46" t="s">
        <v>239</v>
      </c>
      <c r="Q131" s="47" t="str">
        <f>VLOOKUP(P131,budget!$A$2:$B$96,2,0)</f>
        <v>ქალაქ ბათუმის მუნიციპალიტეტის მერია</v>
      </c>
      <c r="R131" s="167"/>
      <c r="S131" s="133"/>
      <c r="T131" s="113">
        <f t="shared" si="21"/>
        <v>0</v>
      </c>
      <c r="U131" s="113"/>
      <c r="V131" s="113"/>
      <c r="W131" s="113"/>
      <c r="X131" s="78"/>
      <c r="Y131" s="28" t="str">
        <f t="shared" si="22"/>
        <v>-</v>
      </c>
      <c r="Z131" s="29"/>
    </row>
    <row r="132" spans="1:26" ht="31.5" customHeight="1">
      <c r="A132" s="243">
        <v>50</v>
      </c>
      <c r="B132" s="244">
        <v>50100000</v>
      </c>
      <c r="C132" s="247" t="s">
        <v>48</v>
      </c>
      <c r="D132" s="226" t="s">
        <v>103</v>
      </c>
      <c r="E132" s="125">
        <v>70000</v>
      </c>
      <c r="F132" s="91" t="s">
        <v>24</v>
      </c>
      <c r="G132" s="237" t="s">
        <v>394</v>
      </c>
      <c r="H132" s="92"/>
      <c r="I132" s="68"/>
      <c r="J132" s="45"/>
      <c r="K132" s="118"/>
      <c r="L132" s="21">
        <v>2020</v>
      </c>
      <c r="M132" s="44"/>
      <c r="N132" s="47" t="str">
        <f>VLOOKUP(P132,budget!$A$2:$C$96,3,0)</f>
        <v>აპარატი - მატერ-ტექნიკ.</v>
      </c>
      <c r="O132" s="66" t="s">
        <v>55</v>
      </c>
      <c r="P132" s="48" t="s">
        <v>239</v>
      </c>
      <c r="Q132" s="47" t="str">
        <f>VLOOKUP(P132,budget!$A$2:$B$96,2,0)</f>
        <v>ქალაქ ბათუმის მუნიციპალიტეტის მერია</v>
      </c>
      <c r="R132" s="50"/>
      <c r="S132" s="208">
        <v>38</v>
      </c>
      <c r="T132" s="209">
        <f t="shared" si="21"/>
        <v>70000</v>
      </c>
      <c r="U132" s="209"/>
      <c r="V132" s="209">
        <v>70000</v>
      </c>
      <c r="W132" s="209"/>
      <c r="X132" s="207" t="s">
        <v>505</v>
      </c>
      <c r="Y132" s="28">
        <f t="shared" si="22"/>
        <v>0</v>
      </c>
      <c r="Z132" s="29"/>
    </row>
    <row r="133" spans="1:26" ht="40.5" customHeight="1">
      <c r="A133" s="243"/>
      <c r="B133" s="244"/>
      <c r="C133" s="247"/>
      <c r="D133" s="226" t="s">
        <v>103</v>
      </c>
      <c r="E133" s="125">
        <v>30000</v>
      </c>
      <c r="F133" s="91" t="s">
        <v>24</v>
      </c>
      <c r="G133" s="237" t="s">
        <v>394</v>
      </c>
      <c r="H133" s="92"/>
      <c r="I133" s="48"/>
      <c r="J133" s="45"/>
      <c r="K133" s="115"/>
      <c r="L133" s="21">
        <v>2020</v>
      </c>
      <c r="M133" s="49"/>
      <c r="N133" s="47" t="str">
        <f>VLOOKUP(P133,budget!$A$2:$C$96,3,0)</f>
        <v>საკრებულო</v>
      </c>
      <c r="O133" s="66" t="s">
        <v>55</v>
      </c>
      <c r="P133" s="46" t="s">
        <v>343</v>
      </c>
      <c r="Q133" s="47" t="str">
        <f>VLOOKUP(P133,budget!$A$2:$B$96,2,0)</f>
        <v>ქალაქ ბათუმის მუნიციპალიტეტის საკრებულო</v>
      </c>
      <c r="R133" s="139"/>
      <c r="S133" s="133">
        <v>50</v>
      </c>
      <c r="T133" s="113">
        <f t="shared" si="21"/>
        <v>30000</v>
      </c>
      <c r="U133" s="113"/>
      <c r="V133" s="113">
        <v>30000</v>
      </c>
      <c r="W133" s="113"/>
      <c r="X133" s="78" t="s">
        <v>538</v>
      </c>
      <c r="Y133" s="28">
        <f t="shared" si="22"/>
        <v>0</v>
      </c>
      <c r="Z133" s="29"/>
    </row>
    <row r="134" spans="1:26" ht="27" customHeight="1">
      <c r="A134" s="243">
        <v>51</v>
      </c>
      <c r="B134" s="244">
        <v>50300000</v>
      </c>
      <c r="C134" s="247" t="s">
        <v>14</v>
      </c>
      <c r="D134" s="226" t="s">
        <v>46</v>
      </c>
      <c r="E134" s="125">
        <f>4000+2500-1355</f>
        <v>5145</v>
      </c>
      <c r="F134" s="91" t="s">
        <v>24</v>
      </c>
      <c r="G134" s="237" t="s">
        <v>394</v>
      </c>
      <c r="H134" s="92"/>
      <c r="I134" s="96" t="s">
        <v>683</v>
      </c>
      <c r="J134" s="45">
        <v>18</v>
      </c>
      <c r="K134" s="117"/>
      <c r="L134" s="21">
        <v>2020</v>
      </c>
      <c r="M134" s="49"/>
      <c r="N134" s="47" t="str">
        <f>VLOOKUP(P134,budget!$A$2:$C$96,3,0)</f>
        <v>აპარატი - მატერ-ტექნიკ.</v>
      </c>
      <c r="O134" s="66" t="s">
        <v>55</v>
      </c>
      <c r="P134" s="48" t="s">
        <v>239</v>
      </c>
      <c r="Q134" s="47" t="str">
        <f>VLOOKUP(P134,budget!$A$2:$B$96,2,0)</f>
        <v>ქალაქ ბათუმის მუნიციპალიტეტის მერია</v>
      </c>
      <c r="R134" s="50"/>
      <c r="S134" s="208">
        <v>49</v>
      </c>
      <c r="T134" s="209">
        <f t="shared" si="21"/>
        <v>5145</v>
      </c>
      <c r="U134" s="209"/>
      <c r="V134" s="209">
        <v>5145</v>
      </c>
      <c r="W134" s="209"/>
      <c r="X134" s="207" t="s">
        <v>564</v>
      </c>
      <c r="Y134" s="28">
        <f t="shared" si="22"/>
        <v>0</v>
      </c>
      <c r="Z134" s="29"/>
    </row>
    <row r="135" spans="1:26" ht="33" customHeight="1">
      <c r="A135" s="243"/>
      <c r="B135" s="244"/>
      <c r="C135" s="247"/>
      <c r="D135" s="226" t="s">
        <v>46</v>
      </c>
      <c r="E135" s="125">
        <v>3000</v>
      </c>
      <c r="F135" s="91" t="s">
        <v>24</v>
      </c>
      <c r="G135" s="237" t="s">
        <v>397</v>
      </c>
      <c r="H135" s="92"/>
      <c r="I135" s="48"/>
      <c r="J135" s="45"/>
      <c r="K135" s="115"/>
      <c r="L135" s="21">
        <v>2020</v>
      </c>
      <c r="M135" s="49"/>
      <c r="N135" s="47" t="str">
        <f>VLOOKUP(P135,budget!$A$2:$C$96,3,0)</f>
        <v>საკრებულო</v>
      </c>
      <c r="O135" s="66" t="s">
        <v>55</v>
      </c>
      <c r="P135" s="46" t="s">
        <v>343</v>
      </c>
      <c r="Q135" s="47" t="str">
        <f>VLOOKUP(P135,budget!$A$2:$B$96,2,0)</f>
        <v>ქალაქ ბათუმის მუნიციპალიტეტის საკრებულო</v>
      </c>
      <c r="R135" s="139"/>
      <c r="S135" s="205">
        <v>39</v>
      </c>
      <c r="T135" s="206">
        <f t="shared" si="21"/>
        <v>3000</v>
      </c>
      <c r="U135" s="206"/>
      <c r="V135" s="206">
        <v>3000</v>
      </c>
      <c r="W135" s="206"/>
      <c r="X135" s="210" t="s">
        <v>506</v>
      </c>
      <c r="Y135" s="28">
        <f t="shared" si="22"/>
        <v>0</v>
      </c>
      <c r="Z135" s="29"/>
    </row>
    <row r="136" spans="1:26" ht="32.25" customHeight="1">
      <c r="A136" s="243"/>
      <c r="B136" s="244"/>
      <c r="C136" s="247"/>
      <c r="D136" s="226" t="s">
        <v>327</v>
      </c>
      <c r="E136" s="125">
        <f>250000+140000-69988</f>
        <v>320012</v>
      </c>
      <c r="F136" s="91" t="s">
        <v>24</v>
      </c>
      <c r="G136" s="237" t="s">
        <v>394</v>
      </c>
      <c r="H136" s="183"/>
      <c r="I136" s="184" t="s">
        <v>674</v>
      </c>
      <c r="J136" s="182">
        <v>18</v>
      </c>
      <c r="K136" s="185"/>
      <c r="L136" s="21">
        <v>2020</v>
      </c>
      <c r="M136" s="21"/>
      <c r="N136" s="47" t="str">
        <f>VLOOKUP(P136,budget!$A$2:$C$96,3,0)</f>
        <v>კეთილმოწყობა</v>
      </c>
      <c r="O136" s="66" t="s">
        <v>55</v>
      </c>
      <c r="P136" s="46" t="s">
        <v>565</v>
      </c>
      <c r="Q136" s="47" t="str">
        <f>VLOOKUP(P136,budget!$A$2:$B$96,2,0)</f>
        <v>გზების, ქუჩებისა და ტროტუარების მიმდინარე მოვლა-პატრონობა</v>
      </c>
      <c r="R136" s="135"/>
      <c r="S136" s="112">
        <v>34</v>
      </c>
      <c r="T136" s="113">
        <f t="shared" si="21"/>
        <v>320012</v>
      </c>
      <c r="U136" s="113"/>
      <c r="V136" s="113">
        <v>320012</v>
      </c>
      <c r="W136" s="113"/>
      <c r="X136" s="78" t="s">
        <v>502</v>
      </c>
      <c r="Y136" s="28">
        <f t="shared" si="22"/>
        <v>0</v>
      </c>
      <c r="Z136" s="29"/>
    </row>
    <row r="137" spans="1:26" ht="27" customHeight="1">
      <c r="A137" s="249">
        <v>52</v>
      </c>
      <c r="B137" s="249">
        <v>50700000</v>
      </c>
      <c r="C137" s="262" t="s">
        <v>35</v>
      </c>
      <c r="D137" s="226" t="s">
        <v>445</v>
      </c>
      <c r="E137" s="125">
        <v>3000</v>
      </c>
      <c r="F137" s="91" t="s">
        <v>24</v>
      </c>
      <c r="G137" s="237" t="s">
        <v>397</v>
      </c>
      <c r="H137" s="92"/>
      <c r="I137" s="94" t="s">
        <v>435</v>
      </c>
      <c r="J137" s="45">
        <v>4</v>
      </c>
      <c r="K137" s="117"/>
      <c r="L137" s="53">
        <v>2020</v>
      </c>
      <c r="M137" s="49"/>
      <c r="N137" s="47" t="str">
        <f>VLOOKUP(P137,[11]budget!$A$2:$C$104,3,0)</f>
        <v>აპარატი - მატერ-ტექნიკ.</v>
      </c>
      <c r="O137" s="66"/>
      <c r="P137" s="48" t="s">
        <v>239</v>
      </c>
      <c r="Q137" s="47" t="str">
        <f>VLOOKUP(P137,[11]budget!$A$2:$B$104,2,0)</f>
        <v>ქალაქ ბათუმის მუნიციპალიტეტის მერია</v>
      </c>
      <c r="R137" s="50"/>
      <c r="S137" s="208">
        <v>27</v>
      </c>
      <c r="T137" s="209">
        <f t="shared" si="21"/>
        <v>3000</v>
      </c>
      <c r="U137" s="211"/>
      <c r="V137" s="211">
        <v>3000</v>
      </c>
      <c r="W137" s="211"/>
      <c r="X137" s="207" t="s">
        <v>467</v>
      </c>
      <c r="Y137" s="28">
        <f t="shared" si="22"/>
        <v>0</v>
      </c>
    </row>
    <row r="138" spans="1:26" ht="25.5" customHeight="1">
      <c r="A138" s="249"/>
      <c r="B138" s="249"/>
      <c r="C138" s="262"/>
      <c r="D138" s="226" t="s">
        <v>35</v>
      </c>
      <c r="E138" s="125">
        <f>2000-500-200-1300</f>
        <v>0</v>
      </c>
      <c r="F138" s="91" t="s">
        <v>24</v>
      </c>
      <c r="G138" s="237" t="s">
        <v>397</v>
      </c>
      <c r="H138" s="92"/>
      <c r="I138" s="48" t="s">
        <v>632</v>
      </c>
      <c r="J138" s="45">
        <v>16</v>
      </c>
      <c r="K138" s="115"/>
      <c r="L138" s="21">
        <v>2020</v>
      </c>
      <c r="M138" s="49"/>
      <c r="N138" s="47" t="str">
        <f>VLOOKUP(P138,budget!$A$2:$C$96,3,0)</f>
        <v>საკრებულო</v>
      </c>
      <c r="O138" s="66"/>
      <c r="P138" s="46" t="s">
        <v>343</v>
      </c>
      <c r="Q138" s="47" t="str">
        <f>VLOOKUP(P138,budget!$A$2:$B$96,2,0)</f>
        <v>ქალაქ ბათუმის მუნიციპალიტეტის საკრებულო</v>
      </c>
      <c r="R138" s="139"/>
      <c r="S138" s="133"/>
      <c r="T138" s="113">
        <f t="shared" si="21"/>
        <v>0</v>
      </c>
      <c r="U138" s="113"/>
      <c r="V138" s="113"/>
      <c r="W138" s="113"/>
      <c r="X138" s="78"/>
      <c r="Y138" s="28" t="str">
        <f t="shared" si="22"/>
        <v>-</v>
      </c>
      <c r="Z138" s="29"/>
    </row>
    <row r="139" spans="1:26" ht="37.5" customHeight="1">
      <c r="A139" s="235">
        <v>53</v>
      </c>
      <c r="B139" s="235">
        <v>50800000</v>
      </c>
      <c r="C139" s="229" t="s">
        <v>354</v>
      </c>
      <c r="D139" s="226" t="s">
        <v>355</v>
      </c>
      <c r="E139" s="125">
        <f>500-500</f>
        <v>0</v>
      </c>
      <c r="F139" s="91" t="s">
        <v>30</v>
      </c>
      <c r="G139" s="237" t="s">
        <v>397</v>
      </c>
      <c r="H139" s="92" t="str">
        <f>M139</f>
        <v>მე-3 მუხ. 1-ლი პუნქ. "ს" ქვეპუნ.</v>
      </c>
      <c r="I139" s="66" t="s">
        <v>588</v>
      </c>
      <c r="J139" s="45">
        <v>13</v>
      </c>
      <c r="K139" s="116"/>
      <c r="L139" s="21">
        <v>2020</v>
      </c>
      <c r="M139" s="44" t="s">
        <v>31</v>
      </c>
      <c r="N139" s="47" t="str">
        <f>VLOOKUP(P139,budget!$A$2:$C$96,3,0)</f>
        <v>საკრებულო</v>
      </c>
      <c r="O139" s="66"/>
      <c r="P139" s="48" t="s">
        <v>343</v>
      </c>
      <c r="Q139" s="47" t="str">
        <f>VLOOKUP(P139,budget!$A$2:$B$96,2,0)</f>
        <v>ქალაქ ბათუმის მუნიციპალიტეტის საკრებულო</v>
      </c>
      <c r="R139" s="50"/>
      <c r="S139" s="112"/>
      <c r="T139" s="113">
        <f t="shared" si="21"/>
        <v>0</v>
      </c>
      <c r="U139" s="113"/>
      <c r="V139" s="113"/>
      <c r="W139" s="113"/>
      <c r="X139" s="78"/>
      <c r="Y139" s="28" t="str">
        <f t="shared" si="22"/>
        <v>-</v>
      </c>
      <c r="Z139" s="29"/>
    </row>
    <row r="140" spans="1:26" ht="32.25" customHeight="1">
      <c r="A140" s="243">
        <v>54</v>
      </c>
      <c r="B140" s="249">
        <v>55100000</v>
      </c>
      <c r="C140" s="262" t="s">
        <v>418</v>
      </c>
      <c r="D140" s="226" t="s">
        <v>157</v>
      </c>
      <c r="E140" s="125">
        <v>15000</v>
      </c>
      <c r="F140" s="91" t="s">
        <v>30</v>
      </c>
      <c r="G140" s="237" t="s">
        <v>397</v>
      </c>
      <c r="H140" s="92" t="str">
        <f t="shared" ref="H140" si="37">M140</f>
        <v>მე-10(1) მუხლ. მე-3 პუნქ. ”ვ” ქვეპ.</v>
      </c>
      <c r="I140" s="66" t="s">
        <v>435</v>
      </c>
      <c r="J140" s="45">
        <v>6</v>
      </c>
      <c r="K140" s="117"/>
      <c r="L140" s="21">
        <v>2020</v>
      </c>
      <c r="M140" s="56" t="s">
        <v>83</v>
      </c>
      <c r="N140" s="47" t="str">
        <f>VLOOKUP(P140,[6]budget!$A$2:$C$104,3,0)</f>
        <v>აპარატი - პროტოკოლი</v>
      </c>
      <c r="O140" s="66"/>
      <c r="P140" s="48" t="s">
        <v>244</v>
      </c>
      <c r="Q140" s="47" t="str">
        <f>VLOOKUP(P140,[6]budget!$A$2:$B$104,2,0)</f>
        <v>ქალაქ ბათუმის მუნიციპალიტეტის მერია</v>
      </c>
      <c r="R140" s="50"/>
      <c r="S140" s="112"/>
      <c r="T140" s="113">
        <f t="shared" si="21"/>
        <v>0</v>
      </c>
      <c r="U140" s="113"/>
      <c r="V140" s="113"/>
      <c r="W140" s="113"/>
      <c r="X140" s="78"/>
      <c r="Y140" s="28" t="str">
        <f t="shared" si="22"/>
        <v>-</v>
      </c>
      <c r="Z140" s="29"/>
    </row>
    <row r="141" spans="1:26" ht="36.75" customHeight="1">
      <c r="A141" s="243"/>
      <c r="B141" s="249"/>
      <c r="C141" s="262"/>
      <c r="D141" s="226" t="s">
        <v>157</v>
      </c>
      <c r="E141" s="125">
        <f>3500-2000</f>
        <v>1500</v>
      </c>
      <c r="F141" s="91" t="s">
        <v>30</v>
      </c>
      <c r="G141" s="237" t="s">
        <v>397</v>
      </c>
      <c r="H141" s="92" t="str">
        <f>M141</f>
        <v>მე-10(1) მუხლ. მე-3 პუნქ. ”ვ” ქვეპ.</v>
      </c>
      <c r="I141" s="184" t="s">
        <v>598</v>
      </c>
      <c r="J141" s="45">
        <v>13</v>
      </c>
      <c r="K141" s="117"/>
      <c r="L141" s="21">
        <v>2020</v>
      </c>
      <c r="M141" s="56" t="s">
        <v>83</v>
      </c>
      <c r="N141" s="47" t="str">
        <f>VLOOKUP(P141,budget!$A$2:$C$96,3,0)</f>
        <v>საკრებულო</v>
      </c>
      <c r="O141" s="66"/>
      <c r="P141" s="48" t="s">
        <v>343</v>
      </c>
      <c r="Q141" s="47" t="str">
        <f>VLOOKUP(P141,budget!$A$2:$B$96,2,0)</f>
        <v>ქალაქ ბათუმის მუნიციპალიტეტის საკრებულო</v>
      </c>
      <c r="R141" s="50"/>
      <c r="S141" s="112"/>
      <c r="T141" s="113">
        <f t="shared" si="21"/>
        <v>0</v>
      </c>
      <c r="U141" s="113"/>
      <c r="V141" s="113"/>
      <c r="W141" s="113"/>
      <c r="X141" s="78"/>
      <c r="Y141" s="28" t="str">
        <f t="shared" si="22"/>
        <v>-</v>
      </c>
      <c r="Z141" s="29"/>
    </row>
    <row r="142" spans="1:26" ht="32.25" customHeight="1">
      <c r="A142" s="243">
        <v>55</v>
      </c>
      <c r="B142" s="249">
        <v>55300000</v>
      </c>
      <c r="C142" s="267" t="s">
        <v>419</v>
      </c>
      <c r="D142" s="226" t="s">
        <v>158</v>
      </c>
      <c r="E142" s="125">
        <v>28000</v>
      </c>
      <c r="F142" s="91" t="s">
        <v>30</v>
      </c>
      <c r="G142" s="237" t="s">
        <v>397</v>
      </c>
      <c r="H142" s="92" t="str">
        <f t="shared" ref="H142" si="38">M142</f>
        <v>მე-10(1) მუხლ. მე-3 პუნქ. ”ვ” ქვეპ.</v>
      </c>
      <c r="I142" s="66" t="s">
        <v>435</v>
      </c>
      <c r="J142" s="45">
        <v>6</v>
      </c>
      <c r="K142" s="117"/>
      <c r="L142" s="21">
        <v>2020</v>
      </c>
      <c r="M142" s="56" t="s">
        <v>83</v>
      </c>
      <c r="N142" s="47" t="str">
        <f>VLOOKUP(P142,[6]budget!$A$2:$C$104,3,0)</f>
        <v>აპარატი - პროტოკოლი</v>
      </c>
      <c r="O142" s="66"/>
      <c r="P142" s="48" t="s">
        <v>244</v>
      </c>
      <c r="Q142" s="47" t="str">
        <f>VLOOKUP(P142,[6]budget!$A$2:$B$104,2,0)</f>
        <v>ქალაქ ბათუმის მუნიციპალიტეტის მერია</v>
      </c>
      <c r="R142" s="50"/>
      <c r="S142" s="112"/>
      <c r="T142" s="113">
        <f t="shared" si="21"/>
        <v>0</v>
      </c>
      <c r="U142" s="113"/>
      <c r="V142" s="113"/>
      <c r="W142" s="113"/>
      <c r="X142" s="78"/>
      <c r="Y142" s="28" t="str">
        <f t="shared" si="22"/>
        <v>-</v>
      </c>
      <c r="Z142" s="29"/>
    </row>
    <row r="143" spans="1:26" ht="32.25" customHeight="1">
      <c r="A143" s="243"/>
      <c r="B143" s="249"/>
      <c r="C143" s="267"/>
      <c r="D143" s="226" t="s">
        <v>158</v>
      </c>
      <c r="E143" s="125">
        <f>4000-2000</f>
        <v>2000</v>
      </c>
      <c r="F143" s="91" t="s">
        <v>30</v>
      </c>
      <c r="G143" s="237" t="s">
        <v>397</v>
      </c>
      <c r="H143" s="92" t="str">
        <f>M143</f>
        <v>მე-10(1) მუხლ. მე-3 პუნქ. ”ვ” ქვეპ.</v>
      </c>
      <c r="I143" s="184" t="s">
        <v>598</v>
      </c>
      <c r="J143" s="45">
        <v>13</v>
      </c>
      <c r="K143" s="117"/>
      <c r="L143" s="21">
        <v>2020</v>
      </c>
      <c r="M143" s="56" t="s">
        <v>83</v>
      </c>
      <c r="N143" s="47" t="str">
        <f>VLOOKUP(P143,budget!$A$2:$C$96,3,0)</f>
        <v>საკრებულო</v>
      </c>
      <c r="O143" s="66"/>
      <c r="P143" s="48" t="s">
        <v>343</v>
      </c>
      <c r="Q143" s="47" t="str">
        <f>VLOOKUP(P143,budget!$A$2:$B$96,2,0)</f>
        <v>ქალაქ ბათუმის მუნიციპალიტეტის საკრებულო</v>
      </c>
      <c r="R143" s="50"/>
      <c r="S143" s="112"/>
      <c r="T143" s="113">
        <f t="shared" si="21"/>
        <v>0</v>
      </c>
      <c r="U143" s="113"/>
      <c r="V143" s="113"/>
      <c r="W143" s="113"/>
      <c r="X143" s="78"/>
      <c r="Y143" s="28" t="str">
        <f t="shared" si="22"/>
        <v>-</v>
      </c>
      <c r="Z143" s="29"/>
    </row>
    <row r="144" spans="1:26" ht="31.5" customHeight="1">
      <c r="A144" s="243">
        <v>56</v>
      </c>
      <c r="B144" s="244">
        <v>60100000</v>
      </c>
      <c r="C144" s="246" t="s">
        <v>420</v>
      </c>
      <c r="D144" s="226" t="s">
        <v>490</v>
      </c>
      <c r="E144" s="125">
        <v>4000</v>
      </c>
      <c r="F144" s="91" t="s">
        <v>30</v>
      </c>
      <c r="G144" s="237" t="s">
        <v>397</v>
      </c>
      <c r="H144" s="92" t="str">
        <f t="shared" ref="H144" si="39">M144</f>
        <v>მე-10(1) მუხლ. მე-3 პუნქ. ”ვ” ქვეპ.</v>
      </c>
      <c r="I144" s="48" t="s">
        <v>435</v>
      </c>
      <c r="J144" s="45">
        <v>6</v>
      </c>
      <c r="K144" s="117"/>
      <c r="L144" s="21">
        <v>2020</v>
      </c>
      <c r="M144" s="56" t="s">
        <v>83</v>
      </c>
      <c r="N144" s="47" t="str">
        <f>VLOOKUP(P144,[11]budget!$A$2:$C$104,3,0)</f>
        <v>აპარატი - პროტოკოლი</v>
      </c>
      <c r="O144" s="66"/>
      <c r="P144" s="48" t="s">
        <v>244</v>
      </c>
      <c r="Q144" s="47" t="str">
        <f>VLOOKUP(P144,[11]budget!$A$2:$B$104,2,0)</f>
        <v>ქალაქ ბათუმის მუნიციპალიტეტის მერია</v>
      </c>
      <c r="R144" s="50"/>
      <c r="S144" s="112"/>
      <c r="T144" s="113">
        <f t="shared" si="21"/>
        <v>0</v>
      </c>
      <c r="U144" s="186"/>
      <c r="V144" s="186"/>
      <c r="W144" s="186"/>
      <c r="X144" s="78" t="str">
        <f>IF(U144=0,"-",E144-U144)</f>
        <v>-</v>
      </c>
      <c r="Y144" s="28" t="str">
        <f t="shared" si="22"/>
        <v>-</v>
      </c>
    </row>
    <row r="145" spans="1:26" ht="32.25" customHeight="1">
      <c r="A145" s="243"/>
      <c r="B145" s="244"/>
      <c r="C145" s="246"/>
      <c r="D145" s="226" t="s">
        <v>444</v>
      </c>
      <c r="E145" s="125">
        <f>25000-5191</f>
        <v>19809</v>
      </c>
      <c r="F145" s="91" t="s">
        <v>24</v>
      </c>
      <c r="G145" s="237" t="s">
        <v>397</v>
      </c>
      <c r="H145" s="92">
        <f>IF(L145=2020,M145,CONCATENATE(M145," მრავალწ. შესყიდ. ",L145," წ.წ. - შესყიდვის საერთო თანხა ",K145))</f>
        <v>0</v>
      </c>
      <c r="I145" s="48" t="s">
        <v>684</v>
      </c>
      <c r="J145" s="45">
        <v>18</v>
      </c>
      <c r="K145" s="117"/>
      <c r="L145" s="21">
        <v>2020</v>
      </c>
      <c r="M145" s="49"/>
      <c r="N145" s="47" t="str">
        <f>VLOOKUP(P145,[11]budget!$A$2:$C$104,3,0)</f>
        <v>სამხედრო</v>
      </c>
      <c r="O145" s="66" t="s">
        <v>55</v>
      </c>
      <c r="P145" s="48" t="s">
        <v>231</v>
      </c>
      <c r="Q145" s="47" t="str">
        <f>VLOOKUP(P145,[11]budget!$A$2:$B$104,2,0)</f>
        <v>წვევამდელთა ტრანსპორტირება</v>
      </c>
      <c r="R145" s="50"/>
      <c r="S145" s="112">
        <v>31</v>
      </c>
      <c r="T145" s="113">
        <f t="shared" si="21"/>
        <v>19809</v>
      </c>
      <c r="U145" s="186"/>
      <c r="V145" s="186">
        <v>19809</v>
      </c>
      <c r="W145" s="186"/>
      <c r="X145" s="78" t="s">
        <v>499</v>
      </c>
      <c r="Y145" s="28">
        <f t="shared" si="22"/>
        <v>0</v>
      </c>
    </row>
    <row r="146" spans="1:26" ht="29.25" customHeight="1">
      <c r="A146" s="243"/>
      <c r="B146" s="244"/>
      <c r="C146" s="246"/>
      <c r="D146" s="180" t="s">
        <v>284</v>
      </c>
      <c r="E146" s="125">
        <v>11000</v>
      </c>
      <c r="F146" s="91" t="s">
        <v>24</v>
      </c>
      <c r="G146" s="237" t="s">
        <v>394</v>
      </c>
      <c r="H146" s="92" t="str">
        <f t="shared" ref="H146:H153" si="40">M146</f>
        <v>მე-10(1) მუხლ. მე-3 პუნქ. ”დ” ქვეპ.</v>
      </c>
      <c r="I146" s="48" t="s">
        <v>489</v>
      </c>
      <c r="J146" s="45">
        <v>6</v>
      </c>
      <c r="K146" s="117"/>
      <c r="L146" s="21">
        <v>2020</v>
      </c>
      <c r="M146" s="44" t="s">
        <v>61</v>
      </c>
      <c r="N146" s="47" t="str">
        <f>VLOOKUP(P146,budget!$A$2:$C$96,3,0)</f>
        <v>განათ. და კულტურა</v>
      </c>
      <c r="O146" s="66"/>
      <c r="P146" s="48" t="s">
        <v>168</v>
      </c>
      <c r="Q146" s="47" t="str">
        <f>VLOOKUP(P146,budget!$A$2:$B$96,2,0)</f>
        <v>ინკლუზიური განათლების ხელშეწყობა</v>
      </c>
      <c r="R146" s="50"/>
      <c r="S146" s="112">
        <v>29</v>
      </c>
      <c r="T146" s="113">
        <f t="shared" si="21"/>
        <v>10168.049999999999</v>
      </c>
      <c r="U146" s="113"/>
      <c r="V146" s="113">
        <v>10168.049999999999</v>
      </c>
      <c r="W146" s="113"/>
      <c r="X146" s="78" t="s">
        <v>497</v>
      </c>
      <c r="Y146" s="28">
        <f t="shared" si="22"/>
        <v>831.95000000000073</v>
      </c>
      <c r="Z146" s="29"/>
    </row>
    <row r="147" spans="1:26" ht="42.75" customHeight="1">
      <c r="A147" s="243"/>
      <c r="B147" s="244"/>
      <c r="C147" s="246"/>
      <c r="D147" s="180" t="s">
        <v>551</v>
      </c>
      <c r="E147" s="125">
        <f>50000+138500</f>
        <v>188500</v>
      </c>
      <c r="F147" s="91" t="s">
        <v>30</v>
      </c>
      <c r="G147" s="237" t="s">
        <v>398</v>
      </c>
      <c r="H147" s="137" t="s">
        <v>62</v>
      </c>
      <c r="I147" s="48" t="s">
        <v>585</v>
      </c>
      <c r="J147" s="45">
        <v>12</v>
      </c>
      <c r="K147" s="117"/>
      <c r="L147" s="21">
        <v>2020</v>
      </c>
      <c r="M147" s="44" t="s">
        <v>62</v>
      </c>
      <c r="N147" s="47" t="s">
        <v>552</v>
      </c>
      <c r="O147" s="51"/>
      <c r="P147" s="46" t="s">
        <v>239</v>
      </c>
      <c r="Q147" s="47" t="str">
        <f>VLOOKUP(P147,budget!$A$2:$B$96,2,0)</f>
        <v>ქალაქ ბათუმის მუნიციპალიტეტის მერია</v>
      </c>
      <c r="R147" s="50"/>
      <c r="S147" s="112" t="s">
        <v>603</v>
      </c>
      <c r="T147" s="113">
        <f t="shared" si="21"/>
        <v>188500</v>
      </c>
      <c r="U147" s="113"/>
      <c r="V147" s="113">
        <f>50000+138500</f>
        <v>188500</v>
      </c>
      <c r="W147" s="113"/>
      <c r="X147" s="78" t="s">
        <v>562</v>
      </c>
      <c r="Y147" s="28">
        <f t="shared" si="22"/>
        <v>0</v>
      </c>
      <c r="Z147" s="29"/>
    </row>
    <row r="148" spans="1:26" ht="42.75" customHeight="1">
      <c r="A148" s="238">
        <v>57</v>
      </c>
      <c r="B148" s="237">
        <v>63100000</v>
      </c>
      <c r="C148" s="236" t="s">
        <v>718</v>
      </c>
      <c r="D148" s="180" t="s">
        <v>719</v>
      </c>
      <c r="E148" s="125">
        <v>27755</v>
      </c>
      <c r="F148" s="91" t="s">
        <v>24</v>
      </c>
      <c r="G148" s="237" t="s">
        <v>710</v>
      </c>
      <c r="H148" s="137"/>
      <c r="I148" s="48" t="s">
        <v>435</v>
      </c>
      <c r="J148" s="45">
        <v>22</v>
      </c>
      <c r="K148" s="117"/>
      <c r="L148" s="234">
        <v>2020</v>
      </c>
      <c r="M148" s="44"/>
      <c r="N148" s="47"/>
      <c r="O148" s="51"/>
      <c r="P148" s="46" t="s">
        <v>140</v>
      </c>
      <c r="Q148" s="47" t="s">
        <v>246</v>
      </c>
      <c r="R148" s="50"/>
      <c r="S148" s="112"/>
      <c r="T148" s="113"/>
      <c r="U148" s="113"/>
      <c r="V148" s="113"/>
      <c r="W148" s="113"/>
      <c r="X148" s="78"/>
      <c r="Y148" s="28"/>
      <c r="Z148" s="29"/>
    </row>
    <row r="149" spans="1:26" ht="33.75" customHeight="1">
      <c r="A149" s="243">
        <v>58</v>
      </c>
      <c r="B149" s="244">
        <v>63700000</v>
      </c>
      <c r="C149" s="250" t="s">
        <v>220</v>
      </c>
      <c r="D149" s="226" t="s">
        <v>102</v>
      </c>
      <c r="E149" s="125">
        <f>840+180</f>
        <v>1020</v>
      </c>
      <c r="F149" s="91" t="s">
        <v>30</v>
      </c>
      <c r="G149" s="93" t="s">
        <v>398</v>
      </c>
      <c r="H149" s="92" t="str">
        <f t="shared" si="40"/>
        <v>მე-10(1) მუხლ. მე-3 პუნქ. ”ზ” ქვეპ.</v>
      </c>
      <c r="I149" s="66" t="s">
        <v>613</v>
      </c>
      <c r="J149" s="45">
        <v>17</v>
      </c>
      <c r="K149" s="116"/>
      <c r="L149" s="53">
        <v>2020</v>
      </c>
      <c r="M149" s="21" t="s">
        <v>63</v>
      </c>
      <c r="N149" s="47" t="str">
        <f>VLOOKUP(P149,budget!$A$2:$C$96,3,0)</f>
        <v>აპარატი - მატერ-ტექნიკ.</v>
      </c>
      <c r="O149" s="51"/>
      <c r="P149" s="46" t="s">
        <v>239</v>
      </c>
      <c r="Q149" s="47" t="str">
        <f>VLOOKUP(P149,budget!$A$2:$B$96,2,0)</f>
        <v>ქალაქ ბათუმის მუნიციპალიტეტის მერია</v>
      </c>
      <c r="R149" s="88"/>
      <c r="S149" s="112">
        <v>103</v>
      </c>
      <c r="T149" s="113"/>
      <c r="U149" s="113"/>
      <c r="V149" s="113">
        <v>1020</v>
      </c>
      <c r="W149" s="113"/>
      <c r="X149" s="78" t="s">
        <v>621</v>
      </c>
      <c r="Y149" s="28">
        <f t="shared" si="22"/>
        <v>0</v>
      </c>
      <c r="Z149" s="29"/>
    </row>
    <row r="150" spans="1:26" ht="37.5" customHeight="1">
      <c r="A150" s="243"/>
      <c r="B150" s="244"/>
      <c r="C150" s="250"/>
      <c r="D150" s="226" t="s">
        <v>356</v>
      </c>
      <c r="E150" s="125">
        <f>360+180</f>
        <v>540</v>
      </c>
      <c r="F150" s="91" t="s">
        <v>30</v>
      </c>
      <c r="G150" s="237" t="s">
        <v>397</v>
      </c>
      <c r="H150" s="92" t="str">
        <f t="shared" si="40"/>
        <v>მე-10(1) მუხლ. მე-3 პუნქ. ”ზ” ქვეპ.</v>
      </c>
      <c r="I150" s="66" t="s">
        <v>613</v>
      </c>
      <c r="J150" s="45">
        <v>14</v>
      </c>
      <c r="K150" s="116"/>
      <c r="L150" s="21">
        <v>2020</v>
      </c>
      <c r="M150" s="21" t="s">
        <v>63</v>
      </c>
      <c r="N150" s="47" t="str">
        <f>VLOOKUP(P150,budget!$A$2:$C$96,3,0)</f>
        <v>საკრებულო</v>
      </c>
      <c r="O150" s="66"/>
      <c r="P150" s="48" t="s">
        <v>343</v>
      </c>
      <c r="Q150" s="47" t="str">
        <f>VLOOKUP(P150,budget!$A$2:$B$96,2,0)</f>
        <v>ქალაქ ბათუმის მუნიციპალიტეტის საკრებულო</v>
      </c>
      <c r="R150" s="50"/>
      <c r="S150" s="112">
        <v>85</v>
      </c>
      <c r="T150" s="113">
        <f t="shared" si="21"/>
        <v>540</v>
      </c>
      <c r="U150" s="113"/>
      <c r="V150" s="113">
        <v>540</v>
      </c>
      <c r="W150" s="113"/>
      <c r="X150" s="78" t="s">
        <v>621</v>
      </c>
      <c r="Y150" s="28">
        <f t="shared" si="22"/>
        <v>0</v>
      </c>
      <c r="Z150" s="29"/>
    </row>
    <row r="151" spans="1:26" ht="33.75" customHeight="1">
      <c r="A151" s="243"/>
      <c r="B151" s="244"/>
      <c r="C151" s="250"/>
      <c r="D151" s="226" t="s">
        <v>317</v>
      </c>
      <c r="E151" s="125">
        <v>3000</v>
      </c>
      <c r="F151" s="91" t="s">
        <v>30</v>
      </c>
      <c r="G151" s="93" t="s">
        <v>397</v>
      </c>
      <c r="H151" s="92" t="str">
        <f t="shared" si="40"/>
        <v>მე-3 მუხ. 1-ლი პუნქ. "ს" ქვეპუნ.</v>
      </c>
      <c r="I151" s="66"/>
      <c r="J151" s="45"/>
      <c r="K151" s="116"/>
      <c r="L151" s="53">
        <v>2020</v>
      </c>
      <c r="M151" s="21" t="s">
        <v>31</v>
      </c>
      <c r="N151" s="47" t="str">
        <f>VLOOKUP(P151,budget!$A$2:$C$96,3,0)</f>
        <v>აპარატი - მატერ-ტექნიკ.</v>
      </c>
      <c r="O151" s="51"/>
      <c r="P151" s="46" t="s">
        <v>239</v>
      </c>
      <c r="Q151" s="47" t="str">
        <f>VLOOKUP(P151,budget!$A$2:$B$96,2,0)</f>
        <v>ქალაქ ბათუმის მუნიციპალიტეტის მერია</v>
      </c>
      <c r="R151" s="124"/>
      <c r="S151" s="208">
        <v>171</v>
      </c>
      <c r="T151" s="209">
        <f t="shared" si="21"/>
        <v>2340</v>
      </c>
      <c r="U151" s="209"/>
      <c r="V151" s="209">
        <v>2340</v>
      </c>
      <c r="W151" s="209"/>
      <c r="X151" s="207" t="s">
        <v>479</v>
      </c>
      <c r="Y151" s="28">
        <f t="shared" si="22"/>
        <v>660</v>
      </c>
      <c r="Z151" s="29"/>
    </row>
    <row r="152" spans="1:26" ht="33.75" customHeight="1">
      <c r="A152" s="243">
        <v>59</v>
      </c>
      <c r="B152" s="244">
        <v>64200000</v>
      </c>
      <c r="C152" s="246" t="s">
        <v>15</v>
      </c>
      <c r="D152" s="226" t="s">
        <v>155</v>
      </c>
      <c r="E152" s="125">
        <v>1200</v>
      </c>
      <c r="F152" s="137" t="s">
        <v>30</v>
      </c>
      <c r="G152" s="237" t="s">
        <v>394</v>
      </c>
      <c r="H152" s="92" t="str">
        <f t="shared" si="40"/>
        <v>მე-10(1) მუხლ. მე-3 პუნქ. ”ა” ქვეპ.</v>
      </c>
      <c r="I152" s="68"/>
      <c r="J152" s="45"/>
      <c r="K152" s="118"/>
      <c r="L152" s="53">
        <v>2020</v>
      </c>
      <c r="M152" s="44" t="s">
        <v>64</v>
      </c>
      <c r="N152" s="47" t="str">
        <f>VLOOKUP(P152,budget!$A$2:$C$96,3,0)</f>
        <v>აპარატი - მატერ-ტექნიკ.</v>
      </c>
      <c r="O152" s="51"/>
      <c r="P152" s="48" t="s">
        <v>239</v>
      </c>
      <c r="Q152" s="47" t="str">
        <f>VLOOKUP(P152,budget!$A$2:$B$96,2,0)</f>
        <v>ქალაქ ბათუმის მუნიციპალიტეტის მერია</v>
      </c>
      <c r="R152" s="50"/>
      <c r="S152" s="208">
        <v>163</v>
      </c>
      <c r="T152" s="209">
        <f t="shared" si="21"/>
        <v>1200</v>
      </c>
      <c r="U152" s="209"/>
      <c r="V152" s="209">
        <v>1200</v>
      </c>
      <c r="W152" s="209"/>
      <c r="X152" s="207" t="s">
        <v>475</v>
      </c>
      <c r="Y152" s="28">
        <f t="shared" si="22"/>
        <v>0</v>
      </c>
      <c r="Z152" s="29"/>
    </row>
    <row r="153" spans="1:26" ht="33.75" customHeight="1">
      <c r="A153" s="243"/>
      <c r="B153" s="244"/>
      <c r="C153" s="246"/>
      <c r="D153" s="226" t="s">
        <v>367</v>
      </c>
      <c r="E153" s="125">
        <v>1200</v>
      </c>
      <c r="F153" s="137" t="s">
        <v>30</v>
      </c>
      <c r="G153" s="237" t="s">
        <v>263</v>
      </c>
      <c r="H153" s="92" t="str">
        <f t="shared" si="40"/>
        <v>მე-10(1) მუხლ. მე-3 პუნქ. ”ა” ქვეპ.</v>
      </c>
      <c r="I153" s="101"/>
      <c r="J153" s="45"/>
      <c r="K153" s="118"/>
      <c r="L153" s="53">
        <v>2020</v>
      </c>
      <c r="M153" s="44" t="s">
        <v>64</v>
      </c>
      <c r="N153" s="47" t="str">
        <f>budget!C17</f>
        <v>საკრებულო</v>
      </c>
      <c r="O153" s="51"/>
      <c r="P153" s="48" t="s">
        <v>343</v>
      </c>
      <c r="Q153" s="47" t="str">
        <f>VLOOKUP(P153,budget!$A$2:$B$96,2,0)</f>
        <v>ქალაქ ბათუმის მუნიციპალიტეტის საკრებულო</v>
      </c>
      <c r="R153" s="50"/>
      <c r="S153" s="208">
        <v>164</v>
      </c>
      <c r="T153" s="209">
        <f t="shared" si="21"/>
        <v>1200</v>
      </c>
      <c r="U153" s="209"/>
      <c r="V153" s="209">
        <v>1200</v>
      </c>
      <c r="W153" s="209"/>
      <c r="X153" s="207" t="s">
        <v>475</v>
      </c>
      <c r="Y153" s="28">
        <f t="shared" si="22"/>
        <v>0</v>
      </c>
      <c r="Z153" s="29"/>
    </row>
    <row r="154" spans="1:26" ht="43.5" customHeight="1">
      <c r="A154" s="243"/>
      <c r="B154" s="244"/>
      <c r="C154" s="246"/>
      <c r="D154" s="226" t="s">
        <v>491</v>
      </c>
      <c r="E154" s="169">
        <f>6000+6000+12000</f>
        <v>24000</v>
      </c>
      <c r="F154" s="142" t="s">
        <v>106</v>
      </c>
      <c r="G154" s="237" t="s">
        <v>492</v>
      </c>
      <c r="H154" s="92" t="str">
        <f>IF(L154=2018,M154,CONCATENATE(M154," მრავალწ. შესყიდ. ",L154," წ.წ. - შესყიდვის საერთო თანხა ",K154))</f>
        <v xml:space="preserve"> მრავალწ. შესყიდ. 2018-2020 წ.წ. - შესყიდვის საერთო თანხა 65500</v>
      </c>
      <c r="I154" s="95" t="s">
        <v>635</v>
      </c>
      <c r="J154" s="45">
        <v>16</v>
      </c>
      <c r="K154" s="118">
        <f>53500+12000</f>
        <v>65500</v>
      </c>
      <c r="L154" s="53" t="s">
        <v>493</v>
      </c>
      <c r="M154" s="44"/>
      <c r="N154" s="47" t="str">
        <f>VLOOKUP(P154,[12]budget!$A$2:$C$104,3,0)</f>
        <v>აპარატი - მატერ-ტექნიკ.</v>
      </c>
      <c r="O154" s="66" t="s">
        <v>55</v>
      </c>
      <c r="P154" s="48" t="s">
        <v>239</v>
      </c>
      <c r="Q154" s="47" t="str">
        <f>VLOOKUP(P154,[12]budget!$A$2:$B$104,2,0)</f>
        <v>ქალაქ ბათუმის მუნიციპალიტეტის მერია</v>
      </c>
      <c r="R154" s="50"/>
      <c r="S154" s="112"/>
      <c r="T154" s="113">
        <f t="shared" si="21"/>
        <v>0</v>
      </c>
      <c r="U154" s="113"/>
      <c r="V154" s="113"/>
      <c r="W154" s="113"/>
      <c r="X154" s="78"/>
      <c r="Y154" s="28" t="str">
        <f t="shared" si="22"/>
        <v>-</v>
      </c>
      <c r="Z154" s="29"/>
    </row>
    <row r="155" spans="1:26" ht="47.25" customHeight="1">
      <c r="A155" s="243"/>
      <c r="B155" s="244"/>
      <c r="C155" s="246"/>
      <c r="D155" s="226" t="s">
        <v>491</v>
      </c>
      <c r="E155" s="169">
        <f>5000+3600+9400+4869</f>
        <v>22869</v>
      </c>
      <c r="F155" s="142" t="s">
        <v>106</v>
      </c>
      <c r="G155" s="237" t="s">
        <v>342</v>
      </c>
      <c r="H155" s="92" t="str">
        <f>IF(L155=2018,M155,CONCATENATE(M155," მრავალწ. შესყიდ. ",L155," წ.წ. - შესყიდვის საერთო თანხა ",K155))</f>
        <v xml:space="preserve"> მრავალწ. შესყიდ. 2019-2020 წ.წ. - შესყიდვის საერთო თანხა 35900</v>
      </c>
      <c r="I155" s="95" t="s">
        <v>716</v>
      </c>
      <c r="J155" s="45">
        <v>22</v>
      </c>
      <c r="K155" s="189">
        <f>26500+9400</f>
        <v>35900</v>
      </c>
      <c r="L155" s="53" t="s">
        <v>494</v>
      </c>
      <c r="M155" s="44"/>
      <c r="N155" s="47" t="str">
        <f>VLOOKUP(P155,[12]budget!$A$2:$C$104,3,0)</f>
        <v>საკრებულო</v>
      </c>
      <c r="O155" s="66" t="s">
        <v>55</v>
      </c>
      <c r="P155" s="48" t="s">
        <v>343</v>
      </c>
      <c r="Q155" s="47" t="str">
        <f>VLOOKUP(P155,[12]budget!$A$2:$B$104,2,0)</f>
        <v>ქალაქ ბათუმის მუნიციპალიტეტის საკრებულო</v>
      </c>
      <c r="R155" s="50"/>
      <c r="S155" s="112"/>
      <c r="T155" s="113">
        <f t="shared" si="21"/>
        <v>0</v>
      </c>
      <c r="U155" s="113"/>
      <c r="V155" s="113"/>
      <c r="W155" s="113"/>
      <c r="X155" s="78"/>
      <c r="Y155" s="28" t="str">
        <f t="shared" si="22"/>
        <v>-</v>
      </c>
      <c r="Z155" s="29"/>
    </row>
    <row r="156" spans="1:26" ht="25.5" customHeight="1">
      <c r="A156" s="243"/>
      <c r="B156" s="244"/>
      <c r="C156" s="246"/>
      <c r="D156" s="226" t="s">
        <v>3</v>
      </c>
      <c r="E156" s="125">
        <v>5850</v>
      </c>
      <c r="F156" s="91" t="s">
        <v>24</v>
      </c>
      <c r="G156" s="237" t="s">
        <v>394</v>
      </c>
      <c r="H156" s="92"/>
      <c r="I156" s="48" t="s">
        <v>484</v>
      </c>
      <c r="J156" s="45">
        <v>8</v>
      </c>
      <c r="K156" s="115"/>
      <c r="L156" s="21">
        <v>2020</v>
      </c>
      <c r="M156" s="49"/>
      <c r="N156" s="47" t="str">
        <f>VLOOKUP(P156,budget!$A$2:$C$96,3,0)</f>
        <v>საკრებულო</v>
      </c>
      <c r="O156" s="66" t="s">
        <v>55</v>
      </c>
      <c r="P156" s="46" t="s">
        <v>343</v>
      </c>
      <c r="Q156" s="47" t="str">
        <f>VLOOKUP(P156,budget!$A$2:$B$96,2,0)</f>
        <v>ქალაქ ბათუმის მუნიციპალიტეტის საკრებულო</v>
      </c>
      <c r="R156" s="140"/>
      <c r="S156" s="219">
        <v>175</v>
      </c>
      <c r="T156" s="220">
        <f t="shared" si="21"/>
        <v>5850</v>
      </c>
      <c r="U156" s="220"/>
      <c r="V156" s="220">
        <v>5850</v>
      </c>
      <c r="W156" s="220"/>
      <c r="X156" s="221" t="s">
        <v>472</v>
      </c>
      <c r="Y156" s="28">
        <f t="shared" si="22"/>
        <v>0</v>
      </c>
      <c r="Z156" s="29"/>
    </row>
    <row r="157" spans="1:26" ht="25.5" customHeight="1">
      <c r="A157" s="243"/>
      <c r="B157" s="244"/>
      <c r="C157" s="246"/>
      <c r="D157" s="226" t="s">
        <v>3</v>
      </c>
      <c r="E157" s="125">
        <f>16000-2345</f>
        <v>13655</v>
      </c>
      <c r="F157" s="91" t="s">
        <v>24</v>
      </c>
      <c r="G157" s="237" t="s">
        <v>394</v>
      </c>
      <c r="H157" s="92"/>
      <c r="I157" s="68" t="s">
        <v>659</v>
      </c>
      <c r="J157" s="45">
        <v>18</v>
      </c>
      <c r="K157" s="118"/>
      <c r="L157" s="53">
        <v>2020</v>
      </c>
      <c r="M157" s="44"/>
      <c r="N157" s="47" t="str">
        <f>VLOOKUP(P157,budget!$A$2:$C$96,3,0)</f>
        <v>აპარატი - მატერ-ტექნიკ.</v>
      </c>
      <c r="O157" s="51"/>
      <c r="P157" s="48" t="s">
        <v>239</v>
      </c>
      <c r="Q157" s="47" t="str">
        <f>VLOOKUP(P157,budget!$A$2:$B$96,2,0)</f>
        <v>ქალაქ ბათუმის მუნიციპალიტეტის მერია</v>
      </c>
      <c r="R157" s="50"/>
      <c r="S157" s="208">
        <v>160</v>
      </c>
      <c r="T157" s="209">
        <f t="shared" si="21"/>
        <v>13655</v>
      </c>
      <c r="U157" s="209"/>
      <c r="V157" s="209">
        <v>13655</v>
      </c>
      <c r="W157" s="209"/>
      <c r="X157" s="207" t="s">
        <v>472</v>
      </c>
      <c r="Y157" s="28">
        <f t="shared" si="22"/>
        <v>0</v>
      </c>
      <c r="Z157" s="29"/>
    </row>
    <row r="158" spans="1:26" ht="25.5" customHeight="1">
      <c r="A158" s="243"/>
      <c r="B158" s="244"/>
      <c r="C158" s="246"/>
      <c r="D158" s="226" t="s">
        <v>554</v>
      </c>
      <c r="E158" s="125">
        <f>9906-1390</f>
        <v>8516</v>
      </c>
      <c r="F158" s="137" t="s">
        <v>30</v>
      </c>
      <c r="G158" s="237" t="s">
        <v>398</v>
      </c>
      <c r="H158" s="137" t="s">
        <v>62</v>
      </c>
      <c r="I158" s="101" t="s">
        <v>610</v>
      </c>
      <c r="J158" s="45">
        <v>14</v>
      </c>
      <c r="K158" s="118"/>
      <c r="L158" s="53">
        <v>2020</v>
      </c>
      <c r="M158" s="44" t="s">
        <v>62</v>
      </c>
      <c r="N158" s="47" t="str">
        <f>VLOOKUP(P158,budget!$A$2:$C$96,3,0)</f>
        <v>აპარატი - მატერ-ტექნიკ.</v>
      </c>
      <c r="O158" s="51"/>
      <c r="P158" s="48" t="s">
        <v>239</v>
      </c>
      <c r="Q158" s="47" t="str">
        <f>VLOOKUP(P158,budget!$A$2:$B$96,2,0)</f>
        <v>ქალაქ ბათუმის მუნიციპალიტეტის მერია</v>
      </c>
      <c r="R158" s="50"/>
      <c r="S158" s="112">
        <v>79</v>
      </c>
      <c r="T158" s="113">
        <f t="shared" si="21"/>
        <v>8516</v>
      </c>
      <c r="U158" s="113"/>
      <c r="V158" s="113">
        <v>8516</v>
      </c>
      <c r="W158" s="113"/>
      <c r="X158" s="78" t="s">
        <v>604</v>
      </c>
      <c r="Y158" s="28">
        <f t="shared" si="22"/>
        <v>0</v>
      </c>
      <c r="Z158" s="29"/>
    </row>
    <row r="159" spans="1:26" ht="24">
      <c r="A159" s="248">
        <v>60</v>
      </c>
      <c r="B159" s="244">
        <v>66500000</v>
      </c>
      <c r="C159" s="246" t="s">
        <v>89</v>
      </c>
      <c r="D159" s="226" t="s">
        <v>357</v>
      </c>
      <c r="E159" s="169">
        <f>4000-282-1415</f>
        <v>2303</v>
      </c>
      <c r="F159" s="142" t="s">
        <v>106</v>
      </c>
      <c r="G159" s="144" t="s">
        <v>394</v>
      </c>
      <c r="H159" s="145"/>
      <c r="I159" s="48" t="s">
        <v>599</v>
      </c>
      <c r="J159" s="45">
        <v>13</v>
      </c>
      <c r="K159" s="115"/>
      <c r="L159" s="21">
        <v>2020</v>
      </c>
      <c r="M159" s="49"/>
      <c r="N159" s="47" t="str">
        <f>VLOOKUP(P159,budget!$A$2:$C$96,3,0)</f>
        <v>საკრებულო</v>
      </c>
      <c r="O159" s="66"/>
      <c r="P159" s="46" t="s">
        <v>343</v>
      </c>
      <c r="Q159" s="47" t="str">
        <f>VLOOKUP(P159,budget!$A$2:$B$96,2,0)</f>
        <v>ქალაქ ბათუმის მუნიციპალიტეტის საკრებულო</v>
      </c>
      <c r="R159" s="140"/>
      <c r="S159" s="205">
        <v>173</v>
      </c>
      <c r="T159" s="206">
        <f t="shared" si="21"/>
        <v>2298.1799999999998</v>
      </c>
      <c r="U159" s="206"/>
      <c r="V159" s="206">
        <v>2298.1799999999998</v>
      </c>
      <c r="W159" s="206"/>
      <c r="X159" s="210" t="s">
        <v>480</v>
      </c>
      <c r="Y159" s="28">
        <f t="shared" si="22"/>
        <v>4.8200000000001637</v>
      </c>
      <c r="Z159" s="29"/>
    </row>
    <row r="160" spans="1:26" ht="24">
      <c r="A160" s="248"/>
      <c r="B160" s="244"/>
      <c r="C160" s="246"/>
      <c r="D160" s="181" t="s">
        <v>107</v>
      </c>
      <c r="E160" s="169">
        <f>5000+282</f>
        <v>5282</v>
      </c>
      <c r="F160" s="142" t="s">
        <v>106</v>
      </c>
      <c r="G160" s="144" t="s">
        <v>394</v>
      </c>
      <c r="H160" s="145"/>
      <c r="I160" s="48" t="s">
        <v>495</v>
      </c>
      <c r="J160" s="45">
        <v>6</v>
      </c>
      <c r="K160" s="116"/>
      <c r="L160" s="44">
        <v>2020</v>
      </c>
      <c r="M160" s="44"/>
      <c r="N160" s="47" t="str">
        <f>VLOOKUP(P160,budget!$A$2:$C$96,3,0)</f>
        <v>აპარატი - მატერ-ტექნიკ.</v>
      </c>
      <c r="O160" s="51"/>
      <c r="P160" s="48" t="s">
        <v>239</v>
      </c>
      <c r="Q160" s="47" t="str">
        <f>VLOOKUP(P160,budget!$A$2:$B$96,2,0)</f>
        <v>ქალაქ ბათუმის მუნიციპალიტეტის მერია</v>
      </c>
      <c r="R160" s="71"/>
      <c r="S160" s="208">
        <v>172</v>
      </c>
      <c r="T160" s="209">
        <f t="shared" si="21"/>
        <v>5281.68</v>
      </c>
      <c r="U160" s="209"/>
      <c r="V160" s="209">
        <v>5281.68</v>
      </c>
      <c r="W160" s="209"/>
      <c r="X160" s="207" t="s">
        <v>480</v>
      </c>
      <c r="Y160" s="28">
        <f t="shared" si="22"/>
        <v>0.31999999999970896</v>
      </c>
      <c r="Z160" s="29"/>
    </row>
    <row r="161" spans="1:26" ht="28.5" customHeight="1">
      <c r="A161" s="243">
        <v>61</v>
      </c>
      <c r="B161" s="244">
        <v>71300000</v>
      </c>
      <c r="C161" s="263" t="s">
        <v>439</v>
      </c>
      <c r="D161" s="181" t="s">
        <v>438</v>
      </c>
      <c r="E161" s="125">
        <v>15025</v>
      </c>
      <c r="F161" s="91" t="s">
        <v>24</v>
      </c>
      <c r="G161" s="237" t="s">
        <v>394</v>
      </c>
      <c r="H161" s="92"/>
      <c r="I161" s="96" t="s">
        <v>435</v>
      </c>
      <c r="J161" s="45">
        <v>2</v>
      </c>
      <c r="K161" s="116"/>
      <c r="L161" s="21">
        <v>2020</v>
      </c>
      <c r="M161" s="44"/>
      <c r="N161" s="47" t="str">
        <f>VLOOKUP(P161,[13]budget!$A$2:$C$104,3,0)</f>
        <v>ეკონომიკური</v>
      </c>
      <c r="O161" s="66" t="s">
        <v>55</v>
      </c>
      <c r="P161" s="46" t="s">
        <v>364</v>
      </c>
      <c r="Q161" s="47" t="str">
        <f>VLOOKUP(P161,[13]budget!$A$2:$B$104,2,0)</f>
        <v>თვითმმართველობის საკუთრებაში არსებული ქონების მართვა</v>
      </c>
      <c r="R161" s="50"/>
      <c r="S161" s="112">
        <v>28</v>
      </c>
      <c r="T161" s="113">
        <f t="shared" ref="T161" si="41">SUBTOTAL(9,U161:W161)</f>
        <v>15025</v>
      </c>
      <c r="U161" s="113"/>
      <c r="V161" s="113">
        <v>15025</v>
      </c>
      <c r="W161" s="113"/>
      <c r="X161" s="78" t="s">
        <v>468</v>
      </c>
      <c r="Y161" s="28">
        <f t="shared" ref="Y161" si="42">IF(V161=0,"-",E161-V161)</f>
        <v>0</v>
      </c>
      <c r="Z161" s="29"/>
    </row>
    <row r="162" spans="1:26" ht="45" customHeight="1">
      <c r="A162" s="243"/>
      <c r="B162" s="244"/>
      <c r="C162" s="263"/>
      <c r="D162" s="181" t="s">
        <v>685</v>
      </c>
      <c r="E162" s="125">
        <v>15000</v>
      </c>
      <c r="F162" s="91" t="s">
        <v>24</v>
      </c>
      <c r="G162" s="237" t="s">
        <v>687</v>
      </c>
      <c r="H162" s="92" t="str">
        <f t="shared" ref="H162:H164" si="43">IF(L162=2018,M162,CONCATENATE(M162," მრავალწ. შესყიდ. ",L162," წ.წ. - შესყიდვის საერთო თანხა ",K162))</f>
        <v xml:space="preserve"> მრავალწ. შესყიდ. 2016-2020 წ.წ. - შესყიდვის საერთო თანხა მიუთითეთ საერთო თანხა</v>
      </c>
      <c r="I162" s="96" t="s">
        <v>435</v>
      </c>
      <c r="J162" s="45">
        <v>19</v>
      </c>
      <c r="K162" s="193" t="s">
        <v>688</v>
      </c>
      <c r="L162" s="21" t="s">
        <v>686</v>
      </c>
      <c r="M162" s="44"/>
      <c r="N162" s="47" t="str">
        <f>VLOOKUP(P162,[13]budget!$A$2:$C$104,3,0)</f>
        <v>კეთილმოწყობა</v>
      </c>
      <c r="O162" s="66" t="s">
        <v>55</v>
      </c>
      <c r="P162" s="46" t="s">
        <v>177</v>
      </c>
      <c r="Q162" s="47" t="str">
        <f>VLOOKUP(P162,[13]budget!$A$2:$B$104,2,0)</f>
        <v>საგზაო ინფრასტრუქტურის რეაბილიტაცია და კაპიტალური მშენებლობა</v>
      </c>
      <c r="R162" s="50"/>
      <c r="S162" s="112"/>
      <c r="T162" s="113">
        <f t="shared" si="21"/>
        <v>0</v>
      </c>
      <c r="U162" s="113"/>
      <c r="V162" s="113"/>
      <c r="W162" s="113"/>
      <c r="X162" s="78"/>
      <c r="Y162" s="28" t="str">
        <f t="shared" si="22"/>
        <v>-</v>
      </c>
      <c r="Z162" s="29"/>
    </row>
    <row r="163" spans="1:26" ht="64.5" customHeight="1">
      <c r="A163" s="238">
        <v>62</v>
      </c>
      <c r="B163" s="235">
        <v>71400000</v>
      </c>
      <c r="C163" s="233" t="s">
        <v>707</v>
      </c>
      <c r="D163" s="181" t="s">
        <v>708</v>
      </c>
      <c r="E163" s="125">
        <v>100000</v>
      </c>
      <c r="F163" s="91" t="s">
        <v>42</v>
      </c>
      <c r="G163" s="237" t="s">
        <v>710</v>
      </c>
      <c r="H163" s="92" t="str">
        <f>IF(L163=2018,M163,CONCATENATE(M163," მრავალწ. შესყიდ. ",L163," წ.წ. - შესყიდვის საერთო თანხა ",K163))</f>
        <v xml:space="preserve"> მრავალწ. შესყიდ. 2020-2021-2022 წ.წ. - შესყიდვის საერთო თანხა 2500000</v>
      </c>
      <c r="I163" s="96" t="s">
        <v>435</v>
      </c>
      <c r="J163" s="45">
        <v>21</v>
      </c>
      <c r="K163" s="193">
        <v>2500000</v>
      </c>
      <c r="L163" s="21" t="s">
        <v>711</v>
      </c>
      <c r="M163" s="44"/>
      <c r="N163" s="47" t="s">
        <v>219</v>
      </c>
      <c r="O163" s="66"/>
      <c r="P163" s="46" t="s">
        <v>278</v>
      </c>
      <c r="Q163" s="47" t="s">
        <v>709</v>
      </c>
      <c r="R163" s="50"/>
      <c r="S163" s="112"/>
      <c r="T163" s="113"/>
      <c r="U163" s="113"/>
      <c r="V163" s="113"/>
      <c r="W163" s="113"/>
      <c r="X163" s="78"/>
      <c r="Y163" s="28"/>
      <c r="Z163" s="29"/>
    </row>
    <row r="164" spans="1:26" ht="43.5" customHeight="1">
      <c r="A164" s="238">
        <v>63</v>
      </c>
      <c r="B164" s="237">
        <v>71500000</v>
      </c>
      <c r="C164" s="236" t="s">
        <v>522</v>
      </c>
      <c r="D164" s="226" t="s">
        <v>523</v>
      </c>
      <c r="E164" s="169">
        <v>13989</v>
      </c>
      <c r="F164" s="91" t="s">
        <v>24</v>
      </c>
      <c r="G164" s="93" t="s">
        <v>519</v>
      </c>
      <c r="H164" s="92" t="str">
        <f t="shared" si="43"/>
        <v xml:space="preserve"> მრავალწ. შესყიდ. 2015-2020 წ.წ. - შესყიდვის საერთო თანხა 98000</v>
      </c>
      <c r="I164" s="184" t="s">
        <v>435</v>
      </c>
      <c r="J164" s="45">
        <v>8</v>
      </c>
      <c r="K164" s="193">
        <v>98000</v>
      </c>
      <c r="L164" s="21" t="s">
        <v>520</v>
      </c>
      <c r="M164" s="44"/>
      <c r="N164" s="47" t="str">
        <f>VLOOKUP(P164,[8]budget!$A$2:$C$104,3,0)</f>
        <v>კეთილმოწყობა</v>
      </c>
      <c r="O164" s="66" t="s">
        <v>55</v>
      </c>
      <c r="P164" s="48" t="s">
        <v>177</v>
      </c>
      <c r="Q164" s="47" t="str">
        <f>VLOOKUP(P164,[8]budget!$A$2:$B$104,2,0)</f>
        <v>საგზაო ინფრასტრუქტურის რეაბილიტაცია და კაპიტალური მშენებლობა</v>
      </c>
      <c r="R164" s="50"/>
      <c r="S164" s="112"/>
      <c r="T164" s="113">
        <f t="shared" si="21"/>
        <v>0</v>
      </c>
      <c r="U164" s="113"/>
      <c r="V164" s="113"/>
      <c r="W164" s="113"/>
      <c r="X164" s="78"/>
      <c r="Y164" s="28" t="str">
        <f t="shared" si="22"/>
        <v>-</v>
      </c>
      <c r="Z164" s="29"/>
    </row>
    <row r="165" spans="1:26" ht="33.75" customHeight="1">
      <c r="A165" s="243">
        <v>64</v>
      </c>
      <c r="B165" s="244">
        <v>71600000</v>
      </c>
      <c r="C165" s="246" t="s">
        <v>336</v>
      </c>
      <c r="D165" s="226" t="s">
        <v>337</v>
      </c>
      <c r="E165" s="125">
        <v>1260</v>
      </c>
      <c r="F165" s="91" t="s">
        <v>30</v>
      </c>
      <c r="G165" s="237" t="s">
        <v>397</v>
      </c>
      <c r="H165" s="92" t="str">
        <f>M165</f>
        <v>მე-10(1) მუხლ. მე-3 პუნქ. ”ზ” ქვეპ.</v>
      </c>
      <c r="I165" s="66"/>
      <c r="J165" s="45"/>
      <c r="K165" s="117"/>
      <c r="L165" s="21">
        <v>2020</v>
      </c>
      <c r="M165" s="44" t="s">
        <v>63</v>
      </c>
      <c r="N165" s="47" t="str">
        <f>VLOOKUP(P165,budget!$A$2:$C$96,3,0)</f>
        <v>აპარატი - მატერ-ტექნიკ.</v>
      </c>
      <c r="O165" s="66"/>
      <c r="P165" s="46" t="s">
        <v>239</v>
      </c>
      <c r="Q165" s="47" t="str">
        <f>VLOOKUP(P165,budget!$A$2:$B$96,2,0)</f>
        <v>ქალაქ ბათუმის მუნიციპალიტეტის მერია</v>
      </c>
      <c r="R165" s="50"/>
      <c r="S165" s="112">
        <v>92</v>
      </c>
      <c r="T165" s="113">
        <f t="shared" si="21"/>
        <v>1020</v>
      </c>
      <c r="U165" s="113"/>
      <c r="V165" s="113">
        <v>1020</v>
      </c>
      <c r="W165" s="113"/>
      <c r="X165" s="78" t="s">
        <v>627</v>
      </c>
      <c r="Y165" s="28">
        <f t="shared" si="22"/>
        <v>240</v>
      </c>
      <c r="Z165" s="29"/>
    </row>
    <row r="166" spans="1:26" ht="26.25" customHeight="1">
      <c r="A166" s="243"/>
      <c r="B166" s="244"/>
      <c r="C166" s="246"/>
      <c r="D166" s="226" t="s">
        <v>393</v>
      </c>
      <c r="E166" s="125">
        <v>540</v>
      </c>
      <c r="F166" s="91" t="s">
        <v>30</v>
      </c>
      <c r="G166" s="237" t="s">
        <v>397</v>
      </c>
      <c r="H166" s="92" t="str">
        <f>M166</f>
        <v>მე-10(1) მუხლ. მე-3 პუნქ. ”ზ” ქვეპ.</v>
      </c>
      <c r="I166" s="94"/>
      <c r="J166" s="45"/>
      <c r="K166" s="117"/>
      <c r="L166" s="21">
        <v>2020</v>
      </c>
      <c r="M166" s="44" t="s">
        <v>63</v>
      </c>
      <c r="N166" s="47" t="str">
        <f>VLOOKUP(P166,budget!$A$2:$C$96,3,0)</f>
        <v>საკრებულო</v>
      </c>
      <c r="O166" s="66"/>
      <c r="P166" s="46" t="s">
        <v>343</v>
      </c>
      <c r="Q166" s="47" t="str">
        <f>VLOOKUP(P166,budget!$A$2:$B$96,2,0)</f>
        <v>ქალაქ ბათუმის მუნიციპალიტეტის საკრებულო</v>
      </c>
      <c r="R166" s="50"/>
      <c r="S166" s="112"/>
      <c r="T166" s="113">
        <f t="shared" ref="T166:T216" si="44">SUBTOTAL(9,U166:W166)</f>
        <v>0</v>
      </c>
      <c r="U166" s="113"/>
      <c r="V166" s="113"/>
      <c r="W166" s="113"/>
      <c r="X166" s="78"/>
      <c r="Y166" s="28" t="str">
        <f t="shared" ref="Y166:Y217" si="45">IF(V166=0,"-",E166-V166)</f>
        <v>-</v>
      </c>
      <c r="Z166" s="29"/>
    </row>
    <row r="167" spans="1:26" ht="31.5" customHeight="1">
      <c r="A167" s="238">
        <v>65</v>
      </c>
      <c r="B167" s="237">
        <v>71900000</v>
      </c>
      <c r="C167" s="236" t="s">
        <v>4</v>
      </c>
      <c r="D167" s="226" t="s">
        <v>160</v>
      </c>
      <c r="E167" s="125">
        <v>94990</v>
      </c>
      <c r="F167" s="137" t="s">
        <v>24</v>
      </c>
      <c r="G167" s="93" t="s">
        <v>394</v>
      </c>
      <c r="H167" s="92"/>
      <c r="I167" s="66"/>
      <c r="J167" s="45"/>
      <c r="K167" s="117"/>
      <c r="L167" s="21">
        <v>2020</v>
      </c>
      <c r="M167" s="49"/>
      <c r="N167" s="47" t="str">
        <f>VLOOKUP(P167,budget!$A$2:$C$96,3,0)</f>
        <v>სანიტარული</v>
      </c>
      <c r="O167" s="66" t="s">
        <v>55</v>
      </c>
      <c r="P167" s="48" t="s">
        <v>222</v>
      </c>
      <c r="Q167" s="47" t="str">
        <f>VLOOKUP(P167,budget!$A$2:$B$96,2,0)</f>
        <v>ბათუმის ტერიტორიაზე არსებული დაწესებულებების სანიტარული მონიტორინგი</v>
      </c>
      <c r="R167" s="50"/>
      <c r="S167" s="112">
        <v>6</v>
      </c>
      <c r="T167" s="113">
        <f t="shared" si="44"/>
        <v>94990</v>
      </c>
      <c r="U167" s="113"/>
      <c r="V167" s="113">
        <v>94990</v>
      </c>
      <c r="W167" s="113"/>
      <c r="X167" s="78" t="s">
        <v>452</v>
      </c>
      <c r="Y167" s="28">
        <f t="shared" si="45"/>
        <v>0</v>
      </c>
      <c r="Z167" s="29"/>
    </row>
    <row r="168" spans="1:26" ht="55.5" customHeight="1">
      <c r="A168" s="238">
        <v>66</v>
      </c>
      <c r="B168" s="237">
        <v>72200000</v>
      </c>
      <c r="C168" s="231" t="s">
        <v>640</v>
      </c>
      <c r="D168" s="226" t="s">
        <v>641</v>
      </c>
      <c r="E168" s="125">
        <v>3540</v>
      </c>
      <c r="F168" s="91" t="s">
        <v>30</v>
      </c>
      <c r="G168" s="93" t="s">
        <v>398</v>
      </c>
      <c r="H168" s="92" t="str">
        <f>M168</f>
        <v>მე-3 მუხ. 1-ლი პუნქ. "ს" ქვეპუნ.</v>
      </c>
      <c r="I168" s="66" t="s">
        <v>435</v>
      </c>
      <c r="J168" s="45">
        <v>17</v>
      </c>
      <c r="K168" s="117"/>
      <c r="L168" s="21">
        <v>2020</v>
      </c>
      <c r="M168" s="44" t="s">
        <v>31</v>
      </c>
      <c r="N168" s="47" t="str">
        <f>VLOOKUP(P168,[9]budget!$A$2:$C$104,3,0)</f>
        <v>საფინანსო</v>
      </c>
      <c r="O168" s="66" t="s">
        <v>58</v>
      </c>
      <c r="P168" s="46" t="s">
        <v>251</v>
      </c>
      <c r="Q168" s="47" t="str">
        <f>VLOOKUP(P168,[9]budget!$A$2:$B$104,2,0)</f>
        <v>ქალაქ ბათუმის მუნიციპალიტეტის მერია</v>
      </c>
      <c r="R168" s="50"/>
      <c r="S168" s="112">
        <v>105</v>
      </c>
      <c r="T168" s="222">
        <f t="shared" si="44"/>
        <v>3540</v>
      </c>
      <c r="U168" s="222"/>
      <c r="V168" s="113">
        <v>3540</v>
      </c>
      <c r="W168" s="113"/>
      <c r="X168" s="232" t="s">
        <v>651</v>
      </c>
      <c r="Y168" s="28" t="str">
        <f t="shared" ref="Y168" si="46">IF(W168=0,"-",E168-W168)</f>
        <v>-</v>
      </c>
      <c r="Z168" s="29"/>
    </row>
    <row r="169" spans="1:26" ht="34.5" customHeight="1">
      <c r="A169" s="238">
        <v>67</v>
      </c>
      <c r="B169" s="237">
        <v>72300000</v>
      </c>
      <c r="C169" s="236" t="s">
        <v>90</v>
      </c>
      <c r="D169" s="226" t="s">
        <v>358</v>
      </c>
      <c r="E169" s="125">
        <v>35000</v>
      </c>
      <c r="F169" s="91" t="s">
        <v>30</v>
      </c>
      <c r="G169" s="237" t="s">
        <v>342</v>
      </c>
      <c r="H169" s="92" t="str">
        <f>M169</f>
        <v>მე-10(1) მუხლ. მე-3 პუნქ. ”ზ” ქვეპ.</v>
      </c>
      <c r="I169" s="68"/>
      <c r="J169" s="45"/>
      <c r="K169" s="115"/>
      <c r="L169" s="21">
        <v>2019</v>
      </c>
      <c r="M169" s="44" t="s">
        <v>63</v>
      </c>
      <c r="N169" s="47" t="str">
        <f>VLOOKUP(P169,budget!$A$2:$C$96,3,0)</f>
        <v>საკრებულო</v>
      </c>
      <c r="O169" s="66"/>
      <c r="P169" s="48" t="s">
        <v>343</v>
      </c>
      <c r="Q169" s="47" t="str">
        <f>VLOOKUP(P169,budget!$A$2:$B$96,2,0)</f>
        <v>ქალაქ ბათუმის მუნიციპალიტეტის საკრებულო</v>
      </c>
      <c r="R169" s="50"/>
      <c r="S169" s="112"/>
      <c r="T169" s="113">
        <f t="shared" si="44"/>
        <v>0</v>
      </c>
      <c r="U169" s="113"/>
      <c r="V169" s="113"/>
      <c r="W169" s="113"/>
      <c r="X169" s="78"/>
      <c r="Y169" s="28" t="str">
        <f t="shared" si="45"/>
        <v>-</v>
      </c>
      <c r="Z169" s="29"/>
    </row>
    <row r="170" spans="1:26" ht="25.5" customHeight="1">
      <c r="A170" s="243">
        <v>68</v>
      </c>
      <c r="B170" s="244">
        <v>72400000</v>
      </c>
      <c r="C170" s="246" t="s">
        <v>16</v>
      </c>
      <c r="D170" s="226" t="s">
        <v>149</v>
      </c>
      <c r="E170" s="125">
        <f>10000-1360</f>
        <v>8640</v>
      </c>
      <c r="F170" s="91" t="s">
        <v>24</v>
      </c>
      <c r="G170" s="237" t="s">
        <v>394</v>
      </c>
      <c r="H170" s="92"/>
      <c r="I170" s="96" t="s">
        <v>660</v>
      </c>
      <c r="J170" s="45">
        <v>18</v>
      </c>
      <c r="K170" s="118"/>
      <c r="L170" s="53">
        <v>2020</v>
      </c>
      <c r="M170" s="44"/>
      <c r="N170" s="47" t="str">
        <f>VLOOKUP(P170,budget!$A$2:$C$96,3,0)</f>
        <v>აპარატი - მატერ-ტექნიკ.</v>
      </c>
      <c r="O170" s="66" t="s">
        <v>55</v>
      </c>
      <c r="P170" s="48" t="s">
        <v>239</v>
      </c>
      <c r="Q170" s="47" t="str">
        <f>VLOOKUP(P170,budget!$A$2:$B$96,2,0)</f>
        <v>ქალაქ ბათუმის მუნიციპალიტეტის მერია</v>
      </c>
      <c r="R170" s="50"/>
      <c r="S170" s="208">
        <v>161</v>
      </c>
      <c r="T170" s="209">
        <f t="shared" si="44"/>
        <v>8640</v>
      </c>
      <c r="U170" s="209"/>
      <c r="V170" s="209">
        <v>8640</v>
      </c>
      <c r="W170" s="209"/>
      <c r="X170" s="207" t="s">
        <v>472</v>
      </c>
      <c r="Y170" s="28">
        <f t="shared" si="45"/>
        <v>0</v>
      </c>
      <c r="Z170" s="29"/>
    </row>
    <row r="171" spans="1:26" ht="25.5" customHeight="1">
      <c r="A171" s="243"/>
      <c r="B171" s="244"/>
      <c r="C171" s="246"/>
      <c r="D171" s="226" t="s">
        <v>156</v>
      </c>
      <c r="E171" s="125">
        <f>700-40</f>
        <v>660</v>
      </c>
      <c r="F171" s="91" t="s">
        <v>24</v>
      </c>
      <c r="G171" s="237" t="s">
        <v>394</v>
      </c>
      <c r="H171" s="92"/>
      <c r="I171" s="95"/>
      <c r="J171" s="45"/>
      <c r="K171" s="118"/>
      <c r="L171" s="53">
        <v>2020</v>
      </c>
      <c r="M171" s="44"/>
      <c r="N171" s="47" t="str">
        <f>VLOOKUP(P171,budget!$A$2:$C$96,3,0)</f>
        <v>აპარატი - მატერ-ტექნიკ.</v>
      </c>
      <c r="O171" s="66" t="s">
        <v>55</v>
      </c>
      <c r="P171" s="48" t="s">
        <v>239</v>
      </c>
      <c r="Q171" s="47" t="str">
        <f>VLOOKUP(P171,budget!$A$2:$B$96,2,0)</f>
        <v>ქალაქ ბათუმის მუნიციპალიტეტის მერია</v>
      </c>
      <c r="R171" s="50"/>
      <c r="S171" s="208">
        <v>3</v>
      </c>
      <c r="T171" s="209">
        <f t="shared" si="44"/>
        <v>660</v>
      </c>
      <c r="U171" s="209"/>
      <c r="V171" s="209">
        <v>660</v>
      </c>
      <c r="W171" s="209"/>
      <c r="X171" s="207" t="s">
        <v>451</v>
      </c>
      <c r="Y171" s="28">
        <f t="shared" si="45"/>
        <v>0</v>
      </c>
      <c r="Z171" s="29"/>
    </row>
    <row r="172" spans="1:26" ht="25.5" customHeight="1">
      <c r="A172" s="243"/>
      <c r="B172" s="244"/>
      <c r="C172" s="246"/>
      <c r="D172" s="226" t="s">
        <v>432</v>
      </c>
      <c r="E172" s="125">
        <f>500-80</f>
        <v>420</v>
      </c>
      <c r="F172" s="91" t="s">
        <v>24</v>
      </c>
      <c r="G172" s="237" t="s">
        <v>397</v>
      </c>
      <c r="H172" s="92"/>
      <c r="I172" s="95" t="s">
        <v>663</v>
      </c>
      <c r="J172" s="45">
        <v>18</v>
      </c>
      <c r="K172" s="118"/>
      <c r="L172" s="53">
        <v>2020</v>
      </c>
      <c r="M172" s="44"/>
      <c r="N172" s="47" t="str">
        <f>budget!C17</f>
        <v>საკრებულო</v>
      </c>
      <c r="O172" s="66" t="s">
        <v>55</v>
      </c>
      <c r="P172" s="48" t="s">
        <v>348</v>
      </c>
      <c r="Q172" s="47" t="str">
        <f>budget!B17</f>
        <v>ქალაქ ბათუმის მუნიციპალიტეტის საკრებულო</v>
      </c>
      <c r="R172" s="50"/>
      <c r="S172" s="208">
        <v>4</v>
      </c>
      <c r="T172" s="209">
        <f t="shared" si="44"/>
        <v>420</v>
      </c>
      <c r="U172" s="209"/>
      <c r="V172" s="209">
        <v>420</v>
      </c>
      <c r="W172" s="209"/>
      <c r="X172" s="207" t="s">
        <v>451</v>
      </c>
      <c r="Y172" s="28">
        <f t="shared" si="45"/>
        <v>0</v>
      </c>
      <c r="Z172" s="29"/>
    </row>
    <row r="173" spans="1:26" ht="25.5" customHeight="1">
      <c r="A173" s="243"/>
      <c r="B173" s="244"/>
      <c r="C173" s="246"/>
      <c r="D173" s="226" t="s">
        <v>335</v>
      </c>
      <c r="E173" s="125">
        <v>30</v>
      </c>
      <c r="F173" s="91" t="s">
        <v>30</v>
      </c>
      <c r="G173" s="93" t="s">
        <v>398</v>
      </c>
      <c r="H173" s="92" t="str">
        <f>M173</f>
        <v>მე-9 მუხლ. მე-3(1) პუნქტი ”ა” ქვეპ..</v>
      </c>
      <c r="I173" s="95"/>
      <c r="J173" s="45"/>
      <c r="K173" s="118"/>
      <c r="L173" s="53">
        <v>2020</v>
      </c>
      <c r="M173" s="44" t="s">
        <v>338</v>
      </c>
      <c r="N173" s="47" t="str">
        <f>VLOOKUP(P173,budget!$A$2:$C$96,3,0)</f>
        <v>აპარატი - IT</v>
      </c>
      <c r="O173" s="51"/>
      <c r="P173" s="48" t="s">
        <v>240</v>
      </c>
      <c r="Q173" s="47" t="str">
        <f>VLOOKUP(P173,budget!$A$2:$B$96,2,0)</f>
        <v>ქალაქ ბათუმის მუნიციპალიტეტის მერია</v>
      </c>
      <c r="R173" s="50"/>
      <c r="S173" s="112">
        <v>94</v>
      </c>
      <c r="T173" s="113">
        <f t="shared" si="44"/>
        <v>30</v>
      </c>
      <c r="U173" s="113"/>
      <c r="V173" s="113">
        <v>30</v>
      </c>
      <c r="W173" s="113"/>
      <c r="X173" s="78" t="s">
        <v>622</v>
      </c>
      <c r="Y173" s="28">
        <f t="shared" si="45"/>
        <v>0</v>
      </c>
      <c r="Z173" s="29"/>
    </row>
    <row r="174" spans="1:26" ht="41.25" customHeight="1">
      <c r="A174" s="243"/>
      <c r="B174" s="244"/>
      <c r="C174" s="246"/>
      <c r="D174" s="226" t="s">
        <v>363</v>
      </c>
      <c r="E174" s="125">
        <v>40</v>
      </c>
      <c r="F174" s="91" t="s">
        <v>30</v>
      </c>
      <c r="G174" s="237" t="s">
        <v>397</v>
      </c>
      <c r="H174" s="92" t="str">
        <f>M174</f>
        <v>მე-9 მუხლ. მე-3(1) პუნქტი ”ა” ქვეპ..</v>
      </c>
      <c r="I174" s="95"/>
      <c r="J174" s="45"/>
      <c r="K174" s="118"/>
      <c r="L174" s="53">
        <v>2020</v>
      </c>
      <c r="M174" s="44" t="s">
        <v>338</v>
      </c>
      <c r="N174" s="47" t="str">
        <f>budget!C17</f>
        <v>საკრებულო</v>
      </c>
      <c r="O174" s="51"/>
      <c r="P174" s="48" t="s">
        <v>348</v>
      </c>
      <c r="Q174" s="47" t="str">
        <f>budget!B17</f>
        <v>ქალაქ ბათუმის მუნიციპალიტეტის საკრებულო</v>
      </c>
      <c r="R174" s="50"/>
      <c r="S174" s="112">
        <v>86</v>
      </c>
      <c r="T174" s="113">
        <f t="shared" si="44"/>
        <v>30</v>
      </c>
      <c r="U174" s="113"/>
      <c r="V174" s="113">
        <v>30</v>
      </c>
      <c r="W174" s="113"/>
      <c r="X174" s="78" t="s">
        <v>622</v>
      </c>
      <c r="Y174" s="28">
        <f t="shared" si="45"/>
        <v>10</v>
      </c>
      <c r="Z174" s="29"/>
    </row>
    <row r="175" spans="1:26" ht="27" customHeight="1">
      <c r="A175" s="243"/>
      <c r="B175" s="244"/>
      <c r="C175" s="246"/>
      <c r="D175" s="181" t="s">
        <v>262</v>
      </c>
      <c r="E175" s="125">
        <f>3600-2500</f>
        <v>1100</v>
      </c>
      <c r="F175" s="91" t="s">
        <v>24</v>
      </c>
      <c r="G175" s="93" t="s">
        <v>394</v>
      </c>
      <c r="H175" s="92"/>
      <c r="I175" s="97" t="s">
        <v>662</v>
      </c>
      <c r="J175" s="45">
        <v>18</v>
      </c>
      <c r="K175" s="116"/>
      <c r="L175" s="44">
        <v>2020</v>
      </c>
      <c r="M175" s="44"/>
      <c r="N175" s="47" t="str">
        <f>VLOOKUP(P175,budget!$A$2:$C$96,3,0)</f>
        <v>ახალგაზ. და სპორტი</v>
      </c>
      <c r="O175" s="66" t="s">
        <v>55</v>
      </c>
      <c r="P175" s="66" t="s">
        <v>331</v>
      </c>
      <c r="Q175" s="47" t="str">
        <f>VLOOKUP(P175,budget!$A$2:$B$96,2,0)</f>
        <v>ახალგაზრდული ცენტრი</v>
      </c>
      <c r="R175" s="52"/>
      <c r="S175" s="112">
        <v>1</v>
      </c>
      <c r="T175" s="113">
        <f t="shared" si="44"/>
        <v>2400</v>
      </c>
      <c r="U175" s="113"/>
      <c r="V175" s="113">
        <v>2400</v>
      </c>
      <c r="W175" s="113"/>
      <c r="X175" s="78" t="s">
        <v>449</v>
      </c>
      <c r="Y175" s="28">
        <f t="shared" si="45"/>
        <v>-1300</v>
      </c>
      <c r="Z175" s="29"/>
    </row>
    <row r="176" spans="1:26" ht="72.75" customHeight="1">
      <c r="A176" s="238">
        <v>69</v>
      </c>
      <c r="B176" s="237">
        <v>73200000</v>
      </c>
      <c r="C176" s="236" t="s">
        <v>723</v>
      </c>
      <c r="D176" s="181" t="s">
        <v>724</v>
      </c>
      <c r="E176" s="125">
        <v>4950</v>
      </c>
      <c r="F176" s="91" t="s">
        <v>30</v>
      </c>
      <c r="G176" s="93" t="s">
        <v>710</v>
      </c>
      <c r="H176" s="92" t="str">
        <f t="shared" ref="H176" si="47">M176</f>
        <v>მე-3 მუხ. 1-ლი პუნქ. "ს" ქვეპუნ.</v>
      </c>
      <c r="I176" s="101" t="s">
        <v>435</v>
      </c>
      <c r="J176" s="45">
        <v>23</v>
      </c>
      <c r="K176" s="116"/>
      <c r="L176" s="44">
        <v>2020</v>
      </c>
      <c r="M176" s="21" t="s">
        <v>31</v>
      </c>
      <c r="N176" s="47" t="str">
        <f>VLOOKUP(P176,budget!$A$2:$C$96,3,0)</f>
        <v>აპარატი - მატერ-ტექნიკ.</v>
      </c>
      <c r="O176" s="66"/>
      <c r="P176" s="46" t="s">
        <v>239</v>
      </c>
      <c r="Q176" s="47" t="str">
        <f>VLOOKUP(P176,budget!$A$2:$B$96,2,0)</f>
        <v>ქალაქ ბათუმის მუნიციპალიტეტის მერია</v>
      </c>
      <c r="R176" s="52"/>
      <c r="S176" s="112"/>
      <c r="T176" s="113"/>
      <c r="U176" s="113"/>
      <c r="V176" s="113"/>
      <c r="W176" s="113"/>
      <c r="X176" s="78"/>
      <c r="Y176" s="28"/>
      <c r="Z176" s="29"/>
    </row>
    <row r="177" spans="1:26" ht="33.75" customHeight="1">
      <c r="A177" s="243">
        <v>70</v>
      </c>
      <c r="B177" s="249">
        <v>75100000</v>
      </c>
      <c r="C177" s="246" t="s">
        <v>421</v>
      </c>
      <c r="D177" s="226" t="s">
        <v>431</v>
      </c>
      <c r="E177" s="125">
        <f>15000-2500</f>
        <v>12500</v>
      </c>
      <c r="F177" s="91" t="s">
        <v>30</v>
      </c>
      <c r="G177" s="237" t="s">
        <v>397</v>
      </c>
      <c r="H177" s="92" t="str">
        <f>M177</f>
        <v>მე-10(1) მუხლ. მე-3 პუნქ. ”ზ” ქვეპ.</v>
      </c>
      <c r="I177" s="94"/>
      <c r="J177" s="45"/>
      <c r="K177" s="116"/>
      <c r="L177" s="21">
        <v>2020</v>
      </c>
      <c r="M177" s="21" t="s">
        <v>63</v>
      </c>
      <c r="N177" s="47" t="str">
        <f>VLOOKUP(P177,[14]budget!$A$2:$C$104,3,0)</f>
        <v>აპარატი - შესყიდვები</v>
      </c>
      <c r="O177" s="66" t="s">
        <v>316</v>
      </c>
      <c r="P177" s="46" t="s">
        <v>255</v>
      </c>
      <c r="Q177" s="47" t="str">
        <f>VLOOKUP(P177,[14]budget!$A$2:$B$104,2,0)</f>
        <v>ქალაქ ბათუმის მუნიციპალიტეტის მერია</v>
      </c>
      <c r="R177" s="176"/>
      <c r="S177" s="112"/>
      <c r="T177" s="113">
        <f t="shared" si="44"/>
        <v>0</v>
      </c>
      <c r="U177" s="113"/>
      <c r="V177" s="113"/>
      <c r="W177" s="113"/>
      <c r="X177" s="78"/>
      <c r="Y177" s="28" t="str">
        <f t="shared" si="45"/>
        <v>-</v>
      </c>
      <c r="Z177" s="29"/>
    </row>
    <row r="178" spans="1:26" ht="33.75" customHeight="1">
      <c r="A178" s="243"/>
      <c r="B178" s="249"/>
      <c r="C178" s="246"/>
      <c r="D178" s="226" t="s">
        <v>689</v>
      </c>
      <c r="E178" s="125">
        <v>245</v>
      </c>
      <c r="F178" s="91" t="s">
        <v>30</v>
      </c>
      <c r="G178" s="237" t="s">
        <v>653</v>
      </c>
      <c r="H178" s="92" t="str">
        <f>M178</f>
        <v>მე-10(1) მუხლ. მე-3 პუნქ. ”ზ” ქვეპ.</v>
      </c>
      <c r="I178" s="94" t="s">
        <v>435</v>
      </c>
      <c r="J178" s="45">
        <v>19</v>
      </c>
      <c r="K178" s="116"/>
      <c r="L178" s="21">
        <v>2020</v>
      </c>
      <c r="M178" s="21" t="s">
        <v>63</v>
      </c>
      <c r="N178" s="47" t="str">
        <f>VLOOKUP(P178,[8]budget!$A$2:$C$104,3,0)</f>
        <v>საკრებულო</v>
      </c>
      <c r="O178" s="66" t="s">
        <v>316</v>
      </c>
      <c r="P178" s="46" t="s">
        <v>343</v>
      </c>
      <c r="Q178" s="47" t="str">
        <f>VLOOKUP(P178,[8]budget!$A$2:$B$104,2,0)</f>
        <v>ქალაქ ბათუმის მუნიციპალიტეტის საკრებულო</v>
      </c>
      <c r="R178" s="176"/>
      <c r="S178" s="112"/>
      <c r="T178" s="222">
        <f t="shared" si="44"/>
        <v>0</v>
      </c>
      <c r="U178" s="222"/>
      <c r="V178" s="113"/>
      <c r="W178" s="113"/>
      <c r="X178" s="78"/>
      <c r="Y178" s="28" t="str">
        <f t="shared" ref="Y178" si="48">IF(W178=0,"-",E178-W178)</f>
        <v>-</v>
      </c>
      <c r="Z178" s="29"/>
    </row>
    <row r="179" spans="1:26" ht="23.25" customHeight="1">
      <c r="A179" s="243"/>
      <c r="B179" s="249"/>
      <c r="C179" s="246"/>
      <c r="D179" s="226" t="s">
        <v>176</v>
      </c>
      <c r="E179" s="125">
        <v>1200</v>
      </c>
      <c r="F179" s="91" t="s">
        <v>30</v>
      </c>
      <c r="G179" s="237" t="s">
        <v>397</v>
      </c>
      <c r="H179" s="92" t="str">
        <f>M179</f>
        <v>მე-10(1) მუხლ. მე-3 პუნქ. ”ზ” ქვეპ.</v>
      </c>
      <c r="I179" s="149"/>
      <c r="J179" s="45"/>
      <c r="K179" s="116"/>
      <c r="L179" s="21">
        <v>2020</v>
      </c>
      <c r="M179" s="21" t="s">
        <v>63</v>
      </c>
      <c r="N179" s="47" t="str">
        <f>VLOOKUP(P179,budget!$A$2:$C$96,3,0)</f>
        <v>აპარატი - მატერ-ტექნიკ.</v>
      </c>
      <c r="O179" s="66"/>
      <c r="P179" s="46" t="s">
        <v>239</v>
      </c>
      <c r="Q179" s="47" t="str">
        <f>VLOOKUP(P179,budget!$A$2:$B$96,2,0)</f>
        <v>ქალაქ ბათუმის მუნიციპალიტეტის მერია</v>
      </c>
      <c r="R179" s="176"/>
      <c r="S179" s="112"/>
      <c r="T179" s="113">
        <f t="shared" si="44"/>
        <v>0</v>
      </c>
      <c r="U179" s="113"/>
      <c r="V179" s="113"/>
      <c r="W179" s="113"/>
      <c r="X179" s="78"/>
      <c r="Y179" s="28" t="str">
        <f t="shared" si="45"/>
        <v>-</v>
      </c>
      <c r="Z179" s="29"/>
    </row>
    <row r="180" spans="1:26" ht="24" customHeight="1">
      <c r="A180" s="243"/>
      <c r="B180" s="249"/>
      <c r="C180" s="246"/>
      <c r="D180" s="226" t="s">
        <v>176</v>
      </c>
      <c r="E180" s="125">
        <v>1200</v>
      </c>
      <c r="F180" s="91" t="s">
        <v>30</v>
      </c>
      <c r="G180" s="237" t="s">
        <v>397</v>
      </c>
      <c r="H180" s="92" t="str">
        <f>M180</f>
        <v>მე-10(1) მუხლ. მე-3 პუნქ. ”ზ” ქვეპ.</v>
      </c>
      <c r="I180" s="149" t="s">
        <v>435</v>
      </c>
      <c r="J180" s="45">
        <v>6</v>
      </c>
      <c r="K180" s="116"/>
      <c r="L180" s="21">
        <v>2020</v>
      </c>
      <c r="M180" s="21" t="s">
        <v>63</v>
      </c>
      <c r="N180" s="47" t="str">
        <f>VLOOKUP(P180,budget!$A$2:$C$96,3,0)</f>
        <v>საკრებულო</v>
      </c>
      <c r="O180" s="66"/>
      <c r="P180" s="46" t="s">
        <v>343</v>
      </c>
      <c r="Q180" s="47" t="str">
        <f>VLOOKUP(P180,budget!$A$2:$B$96,2,0)</f>
        <v>ქალაქ ბათუმის მუნიციპალიტეტის საკრებულო</v>
      </c>
      <c r="R180" s="143"/>
      <c r="S180" s="112"/>
      <c r="T180" s="113">
        <f t="shared" si="44"/>
        <v>0</v>
      </c>
      <c r="U180" s="113"/>
      <c r="V180" s="113"/>
      <c r="W180" s="113"/>
      <c r="X180" s="78"/>
      <c r="Y180" s="28" t="str">
        <f t="shared" si="45"/>
        <v>-</v>
      </c>
      <c r="Z180" s="29"/>
    </row>
    <row r="181" spans="1:26" ht="38.25" customHeight="1">
      <c r="A181" s="238">
        <v>71</v>
      </c>
      <c r="B181" s="235">
        <v>79400000</v>
      </c>
      <c r="C181" s="236" t="s">
        <v>443</v>
      </c>
      <c r="D181" s="226" t="s">
        <v>442</v>
      </c>
      <c r="E181" s="125">
        <f>15000-8040</f>
        <v>6960</v>
      </c>
      <c r="F181" s="91" t="s">
        <v>24</v>
      </c>
      <c r="G181" s="237" t="s">
        <v>397</v>
      </c>
      <c r="H181" s="92"/>
      <c r="I181" s="48" t="s">
        <v>669</v>
      </c>
      <c r="J181" s="45">
        <v>18</v>
      </c>
      <c r="K181" s="116"/>
      <c r="L181" s="21">
        <v>2020</v>
      </c>
      <c r="M181" s="44"/>
      <c r="N181" s="47" t="str">
        <f>VLOOKUP(P181,[13]budget!$A$2:$C$104,3,0)</f>
        <v>ეკონომიკური</v>
      </c>
      <c r="O181" s="66" t="s">
        <v>55</v>
      </c>
      <c r="P181" s="48" t="s">
        <v>364</v>
      </c>
      <c r="Q181" s="47" t="str">
        <f>VLOOKUP(P181,[13]budget!$A$2:$B$104,2,0)</f>
        <v>თვითმმართველობის საკუთრებაში არსებული ქონების მართვა</v>
      </c>
      <c r="R181" s="50"/>
      <c r="S181" s="112">
        <v>18</v>
      </c>
      <c r="T181" s="113">
        <f t="shared" si="44"/>
        <v>6959.28</v>
      </c>
      <c r="U181" s="113"/>
      <c r="V181" s="113">
        <v>6959.28</v>
      </c>
      <c r="W181" s="113"/>
      <c r="X181" s="78" t="s">
        <v>461</v>
      </c>
      <c r="Y181" s="28">
        <f t="shared" si="45"/>
        <v>0.72000000000025466</v>
      </c>
      <c r="Z181" s="29"/>
    </row>
    <row r="182" spans="1:26" ht="30.75" customHeight="1">
      <c r="A182" s="243">
        <v>72</v>
      </c>
      <c r="B182" s="249">
        <v>79700000</v>
      </c>
      <c r="C182" s="246" t="s">
        <v>17</v>
      </c>
      <c r="D182" s="226" t="s">
        <v>321</v>
      </c>
      <c r="E182" s="169">
        <v>301200</v>
      </c>
      <c r="F182" s="142" t="s">
        <v>30</v>
      </c>
      <c r="G182" s="144" t="s">
        <v>394</v>
      </c>
      <c r="H182" s="145" t="str">
        <f>M182</f>
        <v>მე-10(1) მუხლ. მე-3 პუნქ. ”ა” ქვეპ.</v>
      </c>
      <c r="I182" s="96"/>
      <c r="J182" s="45"/>
      <c r="K182" s="116"/>
      <c r="L182" s="44">
        <v>2020</v>
      </c>
      <c r="M182" s="44" t="s">
        <v>64</v>
      </c>
      <c r="N182" s="47" t="str">
        <f>VLOOKUP(P182,budget!$A$2:$C$96,3,0)</f>
        <v>აპარატი - მატერ-ტექნიკ.</v>
      </c>
      <c r="O182" s="66"/>
      <c r="P182" s="48" t="s">
        <v>239</v>
      </c>
      <c r="Q182" s="47" t="str">
        <f>VLOOKUP(P182,budget!$A$2:$B$96,2,0)</f>
        <v>ქალაქ ბათუმის მუნიციპალიტეტის მერია</v>
      </c>
      <c r="R182" s="50"/>
      <c r="S182" s="208">
        <v>152</v>
      </c>
      <c r="T182" s="209">
        <f t="shared" si="44"/>
        <v>301200</v>
      </c>
      <c r="U182" s="209"/>
      <c r="V182" s="209">
        <v>301200</v>
      </c>
      <c r="W182" s="209"/>
      <c r="X182" s="207" t="s">
        <v>470</v>
      </c>
      <c r="Y182" s="28">
        <f t="shared" si="45"/>
        <v>0</v>
      </c>
      <c r="Z182" s="29"/>
    </row>
    <row r="183" spans="1:26" ht="26.25" customHeight="1">
      <c r="A183" s="243"/>
      <c r="B183" s="249"/>
      <c r="C183" s="246"/>
      <c r="D183" s="226" t="s">
        <v>411</v>
      </c>
      <c r="E183" s="169">
        <v>57600</v>
      </c>
      <c r="F183" s="142" t="s">
        <v>30</v>
      </c>
      <c r="G183" s="144" t="s">
        <v>394</v>
      </c>
      <c r="H183" s="145" t="str">
        <f>M183</f>
        <v>მე-10(1) მუხლ. მე-3 პუნქ. ”ა” ქვეპ.</v>
      </c>
      <c r="I183" s="96"/>
      <c r="J183" s="45"/>
      <c r="K183" s="116"/>
      <c r="L183" s="44">
        <v>2020</v>
      </c>
      <c r="M183" s="44" t="s">
        <v>64</v>
      </c>
      <c r="N183" s="47" t="str">
        <f>VLOOKUP(P183,budget!$A$2:$C$96,3,0)</f>
        <v>მუნიციპალური ქონების და სერვისების მართვის სამსახური</v>
      </c>
      <c r="O183" s="66"/>
      <c r="P183" s="48" t="s">
        <v>364</v>
      </c>
      <c r="Q183" s="47" t="str">
        <f>VLOOKUP(P183,budget!$A$2:$B$96,2,0)</f>
        <v>თვითმმართველობის საკუთრებაში არსებული ქონების მართვა</v>
      </c>
      <c r="R183" s="50"/>
      <c r="S183" s="112">
        <v>151</v>
      </c>
      <c r="T183" s="113">
        <f t="shared" si="44"/>
        <v>57600</v>
      </c>
      <c r="U183" s="113"/>
      <c r="V183" s="113">
        <v>57600</v>
      </c>
      <c r="W183" s="113"/>
      <c r="X183" s="78" t="s">
        <v>470</v>
      </c>
      <c r="Y183" s="28">
        <f t="shared" si="45"/>
        <v>0</v>
      </c>
      <c r="Z183" s="29"/>
    </row>
    <row r="184" spans="1:26" ht="27" customHeight="1">
      <c r="A184" s="238">
        <v>73</v>
      </c>
      <c r="B184" s="235">
        <v>79800000</v>
      </c>
      <c r="C184" s="236" t="s">
        <v>434</v>
      </c>
      <c r="D184" s="181" t="s">
        <v>433</v>
      </c>
      <c r="E184" s="125">
        <f>4000+900</f>
        <v>4900</v>
      </c>
      <c r="F184" s="91" t="s">
        <v>30</v>
      </c>
      <c r="G184" s="237" t="s">
        <v>397</v>
      </c>
      <c r="H184" s="92" t="str">
        <f>IF(L184=2019,M184,CONCATENATE(M184," მრავალწ. შესყიდ. ",L184," წ.წ. - შესყიდვის საერთო თანხა ",K184))</f>
        <v>მე-10(1) მუხლ. მე-3 პუნქ. ”ა” ქვეპ.</v>
      </c>
      <c r="I184" s="101" t="s">
        <v>440</v>
      </c>
      <c r="J184" s="45">
        <v>2</v>
      </c>
      <c r="K184" s="118"/>
      <c r="L184" s="53">
        <v>2019</v>
      </c>
      <c r="M184" s="44" t="s">
        <v>64</v>
      </c>
      <c r="N184" s="47" t="str">
        <f>VLOOKUP(P184,[15]budget!$A$2:$C$104,3,0)</f>
        <v>აპარატი - საქმისწარმოება</v>
      </c>
      <c r="O184" s="66"/>
      <c r="P184" s="48" t="s">
        <v>241</v>
      </c>
      <c r="Q184" s="47" t="str">
        <f>VLOOKUP(P184,[15]budget!$A$2:$B$104,2,0)</f>
        <v>ქალაქ ბათუმის მუნიციპალიტეტის მერია</v>
      </c>
      <c r="R184" s="50"/>
      <c r="S184" s="208">
        <v>174</v>
      </c>
      <c r="T184" s="209">
        <f t="shared" si="44"/>
        <v>4900</v>
      </c>
      <c r="U184" s="209"/>
      <c r="V184" s="209">
        <v>4900</v>
      </c>
      <c r="W184" s="209"/>
      <c r="X184" s="207" t="s">
        <v>481</v>
      </c>
      <c r="Y184" s="28">
        <f t="shared" si="45"/>
        <v>0</v>
      </c>
      <c r="Z184" s="29"/>
    </row>
    <row r="185" spans="1:26" ht="22.5" customHeight="1">
      <c r="A185" s="248">
        <v>74</v>
      </c>
      <c r="B185" s="271">
        <v>79900000</v>
      </c>
      <c r="C185" s="246" t="s">
        <v>430</v>
      </c>
      <c r="D185" s="181" t="s">
        <v>401</v>
      </c>
      <c r="E185" s="125">
        <v>51050</v>
      </c>
      <c r="F185" s="91" t="s">
        <v>24</v>
      </c>
      <c r="G185" s="237" t="s">
        <v>397</v>
      </c>
      <c r="H185" s="92"/>
      <c r="I185" s="187" t="s">
        <v>524</v>
      </c>
      <c r="J185" s="45">
        <v>8</v>
      </c>
      <c r="K185" s="118"/>
      <c r="L185" s="53">
        <v>2020</v>
      </c>
      <c r="M185" s="44"/>
      <c r="N185" s="47" t="str">
        <f>VLOOKUP(P185,budget!$A$2:$C$96,3,0)</f>
        <v>ახალგაზ. და სპორტი</v>
      </c>
      <c r="O185" s="66"/>
      <c r="P185" s="48" t="s">
        <v>331</v>
      </c>
      <c r="Q185" s="47" t="str">
        <f>VLOOKUP(P185,budget!$A$2:$B$96,2,0)</f>
        <v>ახალგაზრდული ცენტრი</v>
      </c>
      <c r="R185" s="50"/>
      <c r="S185" s="112"/>
      <c r="T185" s="113">
        <f t="shared" si="44"/>
        <v>0</v>
      </c>
      <c r="U185" s="113"/>
      <c r="V185" s="113"/>
      <c r="W185" s="113"/>
      <c r="X185" s="78"/>
      <c r="Y185" s="28" t="str">
        <f t="shared" si="45"/>
        <v>-</v>
      </c>
      <c r="Z185" s="29"/>
    </row>
    <row r="186" spans="1:26" ht="22.5" customHeight="1">
      <c r="A186" s="248"/>
      <c r="B186" s="271"/>
      <c r="C186" s="246"/>
      <c r="D186" s="181" t="s">
        <v>381</v>
      </c>
      <c r="E186" s="125">
        <v>35040</v>
      </c>
      <c r="F186" s="91" t="s">
        <v>24</v>
      </c>
      <c r="G186" s="237" t="s">
        <v>397</v>
      </c>
      <c r="H186" s="92"/>
      <c r="I186" s="103"/>
      <c r="J186" s="45"/>
      <c r="K186" s="118"/>
      <c r="L186" s="53">
        <v>2020</v>
      </c>
      <c r="M186" s="44"/>
      <c r="N186" s="47" t="str">
        <f>VLOOKUP(P186,budget!$A$2:$C$96,3,0)</f>
        <v>ახალგაზ. და სპორტი</v>
      </c>
      <c r="O186" s="66"/>
      <c r="P186" s="48" t="s">
        <v>329</v>
      </c>
      <c r="Q186" s="47" t="str">
        <f>VLOOKUP(P186,budget!$A$2:$B$96,2,0)</f>
        <v>ინტელექტუალური და შემეცნებითი პროექტების მხარდაჭერა</v>
      </c>
      <c r="R186" s="50"/>
      <c r="S186" s="112"/>
      <c r="T186" s="113">
        <f t="shared" si="44"/>
        <v>0</v>
      </c>
      <c r="U186" s="113"/>
      <c r="V186" s="113"/>
      <c r="W186" s="113"/>
      <c r="X186" s="78"/>
      <c r="Y186" s="28" t="str">
        <f t="shared" si="45"/>
        <v>-</v>
      </c>
      <c r="Z186" s="29"/>
    </row>
    <row r="187" spans="1:26" ht="25.5" customHeight="1">
      <c r="A187" s="248"/>
      <c r="B187" s="271"/>
      <c r="C187" s="246"/>
      <c r="D187" s="181" t="s">
        <v>377</v>
      </c>
      <c r="E187" s="125">
        <v>29500</v>
      </c>
      <c r="F187" s="91" t="s">
        <v>24</v>
      </c>
      <c r="G187" s="237" t="s">
        <v>397</v>
      </c>
      <c r="H187" s="92"/>
      <c r="I187" s="103"/>
      <c r="J187" s="45"/>
      <c r="K187" s="118"/>
      <c r="L187" s="53">
        <v>2020</v>
      </c>
      <c r="M187" s="44"/>
      <c r="N187" s="47" t="str">
        <f>VLOOKUP(P187,budget!$A$2:$C$96,3,0)</f>
        <v>ახალგაზ. და სპორტი</v>
      </c>
      <c r="O187" s="66"/>
      <c r="P187" s="48" t="s">
        <v>329</v>
      </c>
      <c r="Q187" s="47" t="str">
        <f>VLOOKUP(P187,budget!$A$2:$B$96,2,0)</f>
        <v>ინტელექტუალური და შემეცნებითი პროექტების მხარდაჭერა</v>
      </c>
      <c r="R187" s="50"/>
      <c r="S187" s="112"/>
      <c r="T187" s="113">
        <f t="shared" si="44"/>
        <v>0</v>
      </c>
      <c r="U187" s="113"/>
      <c r="V187" s="113"/>
      <c r="W187" s="113"/>
      <c r="X187" s="78"/>
      <c r="Y187" s="28" t="str">
        <f t="shared" si="45"/>
        <v>-</v>
      </c>
      <c r="Z187" s="29"/>
    </row>
    <row r="188" spans="1:26" ht="22.5" customHeight="1">
      <c r="A188" s="248"/>
      <c r="B188" s="271"/>
      <c r="C188" s="246"/>
      <c r="D188" s="181" t="s">
        <v>378</v>
      </c>
      <c r="E188" s="125">
        <v>7000</v>
      </c>
      <c r="F188" s="91" t="s">
        <v>24</v>
      </c>
      <c r="G188" s="237" t="s">
        <v>397</v>
      </c>
      <c r="H188" s="92"/>
      <c r="I188" s="103"/>
      <c r="J188" s="45"/>
      <c r="K188" s="118"/>
      <c r="L188" s="53">
        <v>2020</v>
      </c>
      <c r="M188" s="44"/>
      <c r="N188" s="47" t="str">
        <f>VLOOKUP(P188,budget!$A$2:$C$96,3,0)</f>
        <v>ახალგაზ. და სპორტი</v>
      </c>
      <c r="O188" s="66"/>
      <c r="P188" s="48" t="s">
        <v>206</v>
      </c>
      <c r="Q188" s="47" t="str">
        <f>VLOOKUP(P188,budget!$A$2:$B$96,2,0)</f>
        <v>ბათუმელი სპორტსმენების ინდივიდუალური განვითარების ხელშეწყობა</v>
      </c>
      <c r="R188" s="50"/>
      <c r="S188" s="112"/>
      <c r="T188" s="113">
        <f t="shared" si="44"/>
        <v>0</v>
      </c>
      <c r="U188" s="113"/>
      <c r="V188" s="113"/>
      <c r="W188" s="113"/>
      <c r="X188" s="78"/>
      <c r="Y188" s="28" t="str">
        <f t="shared" si="45"/>
        <v>-</v>
      </c>
      <c r="Z188" s="29"/>
    </row>
    <row r="189" spans="1:26" ht="22.5" customHeight="1">
      <c r="A189" s="248"/>
      <c r="B189" s="271"/>
      <c r="C189" s="246"/>
      <c r="D189" s="181" t="s">
        <v>379</v>
      </c>
      <c r="E189" s="125">
        <v>7000</v>
      </c>
      <c r="F189" s="91" t="s">
        <v>24</v>
      </c>
      <c r="G189" s="237" t="s">
        <v>397</v>
      </c>
      <c r="H189" s="92"/>
      <c r="I189" s="103"/>
      <c r="J189" s="45"/>
      <c r="K189" s="118"/>
      <c r="L189" s="53">
        <v>2020</v>
      </c>
      <c r="M189" s="44"/>
      <c r="N189" s="47" t="str">
        <f>VLOOKUP(P189,budget!$A$2:$C$96,3,0)</f>
        <v>განათ. და კულტურა</v>
      </c>
      <c r="O189" s="66"/>
      <c r="P189" s="48" t="s">
        <v>308</v>
      </c>
      <c r="Q189" s="47" t="str">
        <f>VLOOKUP(P189,budget!$A$2:$B$96,2,0)</f>
        <v>ხელოვანთა ხელშეწყობა</v>
      </c>
      <c r="R189" s="50"/>
      <c r="S189" s="112"/>
      <c r="T189" s="113">
        <f t="shared" si="44"/>
        <v>0</v>
      </c>
      <c r="U189" s="113"/>
      <c r="V189" s="113"/>
      <c r="W189" s="113"/>
      <c r="X189" s="78"/>
      <c r="Y189" s="28" t="str">
        <f t="shared" si="45"/>
        <v>-</v>
      </c>
      <c r="Z189" s="29"/>
    </row>
    <row r="190" spans="1:26" ht="24" customHeight="1">
      <c r="A190" s="248"/>
      <c r="B190" s="271"/>
      <c r="C190" s="246"/>
      <c r="D190" s="181" t="s">
        <v>372</v>
      </c>
      <c r="E190" s="125">
        <v>9000</v>
      </c>
      <c r="F190" s="91" t="s">
        <v>30</v>
      </c>
      <c r="G190" s="237" t="s">
        <v>397</v>
      </c>
      <c r="H190" s="92" t="str">
        <f>M190</f>
        <v>მე-10(1) მუხლ. მე-3 პუნქ. ”ა” ქვეპ.</v>
      </c>
      <c r="I190" s="103"/>
      <c r="J190" s="45"/>
      <c r="K190" s="118"/>
      <c r="L190" s="53">
        <v>2020</v>
      </c>
      <c r="M190" s="44" t="s">
        <v>64</v>
      </c>
      <c r="N190" s="47" t="str">
        <f>VLOOKUP(P190,budget!$A$2:$C$96,3,0)</f>
        <v>ახალგაზ. და სპორტი</v>
      </c>
      <c r="O190" s="66"/>
      <c r="P190" s="48" t="s">
        <v>329</v>
      </c>
      <c r="Q190" s="47" t="str">
        <f>VLOOKUP(P190,budget!$A$2:$B$96,2,0)</f>
        <v>ინტელექტუალური და შემეცნებითი პროექტების მხარდაჭერა</v>
      </c>
      <c r="R190" s="50"/>
      <c r="S190" s="112">
        <v>44</v>
      </c>
      <c r="T190" s="113">
        <f t="shared" si="44"/>
        <v>8940</v>
      </c>
      <c r="U190" s="113"/>
      <c r="V190" s="113">
        <v>8940</v>
      </c>
      <c r="W190" s="113"/>
      <c r="X190" s="78" t="s">
        <v>510</v>
      </c>
      <c r="Y190" s="28">
        <f t="shared" si="45"/>
        <v>60</v>
      </c>
      <c r="Z190" s="29"/>
    </row>
    <row r="191" spans="1:26" ht="26.25" customHeight="1">
      <c r="A191" s="248"/>
      <c r="B191" s="271"/>
      <c r="C191" s="246"/>
      <c r="D191" s="181" t="s">
        <v>376</v>
      </c>
      <c r="E191" s="125">
        <v>2960</v>
      </c>
      <c r="F191" s="91" t="s">
        <v>30</v>
      </c>
      <c r="G191" s="237" t="s">
        <v>397</v>
      </c>
      <c r="H191" s="92" t="str">
        <f>M191</f>
        <v>მე-10(1) მუხლ. მე-3 პუნქ. ”ა” ქვეპ.</v>
      </c>
      <c r="I191" s="103"/>
      <c r="J191" s="45"/>
      <c r="K191" s="118"/>
      <c r="L191" s="53">
        <v>2020</v>
      </c>
      <c r="M191" s="44" t="s">
        <v>64</v>
      </c>
      <c r="N191" s="47" t="str">
        <f>VLOOKUP(P191,budget!$A$2:$C$96,3,0)</f>
        <v>ახალგაზ. და სპორტი</v>
      </c>
      <c r="O191" s="66"/>
      <c r="P191" s="48" t="s">
        <v>329</v>
      </c>
      <c r="Q191" s="47" t="str">
        <f>VLOOKUP(P191,budget!$A$2:$B$96,2,0)</f>
        <v>ინტელექტუალური და შემეცნებითი პროექტების მხარდაჭერა</v>
      </c>
      <c r="R191" s="50"/>
      <c r="S191" s="112">
        <v>64</v>
      </c>
      <c r="T191" s="113">
        <f t="shared" si="44"/>
        <v>2959.99</v>
      </c>
      <c r="U191" s="113"/>
      <c r="V191" s="113">
        <v>2959.99</v>
      </c>
      <c r="W191" s="113"/>
      <c r="X191" s="78" t="s">
        <v>549</v>
      </c>
      <c r="Y191" s="28">
        <f t="shared" si="45"/>
        <v>1.0000000000218279E-2</v>
      </c>
      <c r="Z191" s="29"/>
    </row>
    <row r="192" spans="1:26" ht="26.25" customHeight="1">
      <c r="A192" s="248"/>
      <c r="B192" s="271"/>
      <c r="C192" s="246"/>
      <c r="D192" s="181" t="s">
        <v>525</v>
      </c>
      <c r="E192" s="125">
        <v>12000</v>
      </c>
      <c r="F192" s="91" t="s">
        <v>24</v>
      </c>
      <c r="G192" s="237" t="s">
        <v>397</v>
      </c>
      <c r="H192" s="92"/>
      <c r="I192" s="103" t="s">
        <v>435</v>
      </c>
      <c r="J192" s="45">
        <v>8</v>
      </c>
      <c r="K192" s="118"/>
      <c r="L192" s="53">
        <v>2020</v>
      </c>
      <c r="M192" s="44"/>
      <c r="N192" s="47" t="str">
        <f>VLOOKUP(P192,[10]budget!$A$2:$C$104,3,0)</f>
        <v>ახალგაზ. და სპორტი</v>
      </c>
      <c r="O192" s="66"/>
      <c r="P192" s="48" t="s">
        <v>331</v>
      </c>
      <c r="Q192" s="47" t="str">
        <f>VLOOKUP(P192,[10]budget!$A$2:$B$104,2,0)</f>
        <v>ახალგაზრდული ცენტრი</v>
      </c>
      <c r="R192" s="50"/>
      <c r="S192" s="112"/>
      <c r="T192" s="113">
        <f t="shared" si="44"/>
        <v>0</v>
      </c>
      <c r="U192" s="113"/>
      <c r="V192" s="113"/>
      <c r="W192" s="113"/>
      <c r="X192" s="78"/>
      <c r="Y192" s="28" t="str">
        <f t="shared" si="45"/>
        <v>-</v>
      </c>
      <c r="Z192" s="29"/>
    </row>
    <row r="193" spans="1:26" ht="56.25" customHeight="1">
      <c r="A193" s="248"/>
      <c r="B193" s="271"/>
      <c r="C193" s="246"/>
      <c r="D193" s="181" t="s">
        <v>631</v>
      </c>
      <c r="E193" s="125">
        <f>45000-2401</f>
        <v>42599</v>
      </c>
      <c r="F193" s="91" t="s">
        <v>24</v>
      </c>
      <c r="G193" s="237" t="s">
        <v>398</v>
      </c>
      <c r="H193" s="92">
        <f>M193</f>
        <v>0</v>
      </c>
      <c r="I193" s="103" t="s">
        <v>682</v>
      </c>
      <c r="J193" s="45">
        <v>18</v>
      </c>
      <c r="K193" s="118"/>
      <c r="L193" s="53">
        <v>2020</v>
      </c>
      <c r="M193" s="44"/>
      <c r="N193" s="47" t="str">
        <f>VLOOKUP(P193,[9]budget!$A$2:$C$104,3,0)</f>
        <v>ეკონომიკური</v>
      </c>
      <c r="O193" s="66" t="s">
        <v>55</v>
      </c>
      <c r="P193" s="48" t="s">
        <v>630</v>
      </c>
      <c r="Q193" s="47" t="str">
        <f>VLOOKUP(P193,[9]budget!$A$2:$B$104,2,0)</f>
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</c>
      <c r="R193" s="50"/>
      <c r="S193" s="112">
        <v>104</v>
      </c>
      <c r="T193" s="222"/>
      <c r="U193" s="223"/>
      <c r="V193" s="113">
        <v>42599</v>
      </c>
      <c r="W193" s="113"/>
      <c r="X193" s="225" t="s">
        <v>650</v>
      </c>
      <c r="Y193" s="28" t="str">
        <f t="shared" ref="Y193" si="49">IF(W193=0,"-",E193-W193)</f>
        <v>-</v>
      </c>
      <c r="Z193" s="29"/>
    </row>
    <row r="194" spans="1:26" ht="25.5" customHeight="1">
      <c r="A194" s="248">
        <v>75</v>
      </c>
      <c r="B194" s="249">
        <v>80500000</v>
      </c>
      <c r="C194" s="265" t="s">
        <v>182</v>
      </c>
      <c r="D194" s="181" t="s">
        <v>182</v>
      </c>
      <c r="E194" s="125">
        <f>1000-1000</f>
        <v>0</v>
      </c>
      <c r="F194" s="91" t="s">
        <v>24</v>
      </c>
      <c r="G194" s="237" t="s">
        <v>397</v>
      </c>
      <c r="H194" s="92"/>
      <c r="I194" s="48" t="s">
        <v>600</v>
      </c>
      <c r="J194" s="45">
        <v>13</v>
      </c>
      <c r="K194" s="116"/>
      <c r="L194" s="21">
        <v>2020</v>
      </c>
      <c r="M194" s="44"/>
      <c r="N194" s="47" t="str">
        <f>budget!C17</f>
        <v>საკრებულო</v>
      </c>
      <c r="O194" s="51"/>
      <c r="P194" s="46" t="s">
        <v>348</v>
      </c>
      <c r="Q194" s="47" t="str">
        <f>budget!B17</f>
        <v>ქალაქ ბათუმის მუნიციპალიტეტის საკრებულო</v>
      </c>
      <c r="R194" s="50"/>
      <c r="S194" s="112"/>
      <c r="T194" s="113">
        <f t="shared" si="44"/>
        <v>0</v>
      </c>
      <c r="U194" s="113"/>
      <c r="V194" s="113"/>
      <c r="W194" s="113"/>
      <c r="X194" s="78"/>
      <c r="Y194" s="28" t="str">
        <f t="shared" si="45"/>
        <v>-</v>
      </c>
      <c r="Z194" s="29"/>
    </row>
    <row r="195" spans="1:26" ht="25.5" customHeight="1">
      <c r="A195" s="248"/>
      <c r="B195" s="249"/>
      <c r="C195" s="265"/>
      <c r="D195" s="181" t="s">
        <v>526</v>
      </c>
      <c r="E195" s="125">
        <v>8438</v>
      </c>
      <c r="F195" s="91" t="s">
        <v>24</v>
      </c>
      <c r="G195" s="237" t="s">
        <v>397</v>
      </c>
      <c r="H195" s="92"/>
      <c r="I195" s="48" t="s">
        <v>435</v>
      </c>
      <c r="J195" s="45">
        <v>8</v>
      </c>
      <c r="K195" s="116"/>
      <c r="L195" s="21">
        <v>2020</v>
      </c>
      <c r="M195" s="44"/>
      <c r="N195" s="47" t="str">
        <f>VLOOKUP(P195,[10]budget!$A$2:$C$104,3,0)</f>
        <v>სოციალური</v>
      </c>
      <c r="O195" s="51" t="s">
        <v>315</v>
      </c>
      <c r="P195" s="46" t="s">
        <v>333</v>
      </c>
      <c r="Q195" s="47" t="str">
        <f>VLOOKUP(P195,[10]budget!$A$2:$B$104,2,0)</f>
        <v>შეზღუდული შესაძლებლობების მქონე პირების ასისტენტით მომსახურება</v>
      </c>
      <c r="R195" s="50"/>
      <c r="S195" s="112"/>
      <c r="T195" s="113">
        <f t="shared" si="44"/>
        <v>0</v>
      </c>
      <c r="U195" s="113"/>
      <c r="V195" s="113"/>
      <c r="W195" s="113"/>
      <c r="X195" s="78"/>
      <c r="Y195" s="28" t="str">
        <f t="shared" si="45"/>
        <v>-</v>
      </c>
      <c r="Z195" s="29"/>
    </row>
    <row r="196" spans="1:26" ht="24" customHeight="1">
      <c r="A196" s="243">
        <v>76</v>
      </c>
      <c r="B196" s="249">
        <v>85100000</v>
      </c>
      <c r="C196" s="246" t="s">
        <v>18</v>
      </c>
      <c r="D196" s="226" t="s">
        <v>228</v>
      </c>
      <c r="E196" s="125">
        <f>45200-7000</f>
        <v>38200</v>
      </c>
      <c r="F196" s="91" t="s">
        <v>24</v>
      </c>
      <c r="G196" s="93" t="s">
        <v>394</v>
      </c>
      <c r="H196" s="92"/>
      <c r="I196" s="66" t="s">
        <v>668</v>
      </c>
      <c r="J196" s="45">
        <v>18</v>
      </c>
      <c r="K196" s="116"/>
      <c r="L196" s="44">
        <v>2020</v>
      </c>
      <c r="M196" s="44"/>
      <c r="N196" s="47" t="str">
        <f>VLOOKUP(P196,budget!$A$2:$C$96,3,0)</f>
        <v>ჯანდაცვა</v>
      </c>
      <c r="O196" s="66" t="s">
        <v>55</v>
      </c>
      <c r="P196" s="46" t="s">
        <v>133</v>
      </c>
      <c r="Q196" s="47" t="str">
        <f>VLOOKUP(P196,budget!$A$2:$B$96,2,0)</f>
        <v>ონკოლოგიურ დაავადებათა ადრეული ფორმების დიაგნოსტიკა და პრევენცია</v>
      </c>
      <c r="R196" s="71"/>
      <c r="S196" s="112">
        <v>16</v>
      </c>
      <c r="T196" s="113">
        <f t="shared" si="44"/>
        <v>38200</v>
      </c>
      <c r="U196" s="113"/>
      <c r="V196" s="113">
        <v>38200</v>
      </c>
      <c r="W196" s="113"/>
      <c r="X196" s="78" t="s">
        <v>459</v>
      </c>
      <c r="Y196" s="28">
        <f t="shared" si="45"/>
        <v>0</v>
      </c>
      <c r="Z196" s="29"/>
    </row>
    <row r="197" spans="1:26" ht="28.5" customHeight="1">
      <c r="A197" s="243"/>
      <c r="B197" s="249"/>
      <c r="C197" s="246"/>
      <c r="D197" s="180" t="s">
        <v>396</v>
      </c>
      <c r="E197" s="125">
        <v>49000</v>
      </c>
      <c r="F197" s="91" t="s">
        <v>24</v>
      </c>
      <c r="G197" s="93" t="s">
        <v>394</v>
      </c>
      <c r="H197" s="92"/>
      <c r="I197" s="48"/>
      <c r="J197" s="45"/>
      <c r="K197" s="116"/>
      <c r="L197" s="44">
        <v>2020</v>
      </c>
      <c r="M197" s="44"/>
      <c r="N197" s="47" t="str">
        <f>VLOOKUP(P197,budget!$A$2:$C$96,3,0)</f>
        <v>ჯანდაცვა</v>
      </c>
      <c r="O197" s="66" t="s">
        <v>55</v>
      </c>
      <c r="P197" s="46" t="s">
        <v>139</v>
      </c>
      <c r="Q197" s="47" t="str">
        <f>VLOOKUP(P197,budget!$A$2:$B$96,2,0)</f>
        <v>ახალშობილთა და ბავშვთა განვითარების შეფერხების პრევენცია და რეაბილიტაცია</v>
      </c>
      <c r="R197" s="71"/>
      <c r="S197" s="112">
        <v>11</v>
      </c>
      <c r="T197" s="113">
        <f t="shared" si="44"/>
        <v>49000</v>
      </c>
      <c r="U197" s="113"/>
      <c r="V197" s="113">
        <v>49000</v>
      </c>
      <c r="W197" s="113"/>
      <c r="X197" s="78" t="s">
        <v>455</v>
      </c>
      <c r="Y197" s="28">
        <f t="shared" si="45"/>
        <v>0</v>
      </c>
      <c r="Z197" s="29"/>
    </row>
    <row r="198" spans="1:26" ht="27.75" customHeight="1">
      <c r="A198" s="243"/>
      <c r="B198" s="249"/>
      <c r="C198" s="246"/>
      <c r="D198" s="180" t="s">
        <v>268</v>
      </c>
      <c r="E198" s="125">
        <v>29730</v>
      </c>
      <c r="F198" s="91" t="s">
        <v>24</v>
      </c>
      <c r="G198" s="93" t="s">
        <v>394</v>
      </c>
      <c r="H198" s="92"/>
      <c r="I198" s="66"/>
      <c r="J198" s="45"/>
      <c r="K198" s="116"/>
      <c r="L198" s="44">
        <v>2020</v>
      </c>
      <c r="M198" s="44"/>
      <c r="N198" s="47" t="str">
        <f>VLOOKUP(P198,budget!$A$2:$C$96,3,0)</f>
        <v>ჯანდაცვა</v>
      </c>
      <c r="O198" s="66" t="s">
        <v>55</v>
      </c>
      <c r="P198" s="46" t="s">
        <v>139</v>
      </c>
      <c r="Q198" s="47" t="str">
        <f>VLOOKUP(P198,budget!$A$2:$B$96,2,0)</f>
        <v>ახალშობილთა და ბავშვთა განვითარების შეფერხების პრევენცია და რეაბილიტაცია</v>
      </c>
      <c r="R198" s="71"/>
      <c r="S198" s="112">
        <v>12</v>
      </c>
      <c r="T198" s="113">
        <f t="shared" si="44"/>
        <v>28590</v>
      </c>
      <c r="U198" s="113"/>
      <c r="V198" s="113">
        <v>28590</v>
      </c>
      <c r="W198" s="113"/>
      <c r="X198" s="78" t="s">
        <v>456</v>
      </c>
      <c r="Y198" s="28">
        <f t="shared" si="45"/>
        <v>1140</v>
      </c>
      <c r="Z198" s="29"/>
    </row>
    <row r="199" spans="1:26" ht="27.75" customHeight="1">
      <c r="A199" s="243"/>
      <c r="B199" s="249"/>
      <c r="C199" s="246"/>
      <c r="D199" s="180" t="s">
        <v>269</v>
      </c>
      <c r="E199" s="125">
        <f>30990-19</f>
        <v>30971</v>
      </c>
      <c r="F199" s="91" t="s">
        <v>24</v>
      </c>
      <c r="G199" s="93" t="s">
        <v>394</v>
      </c>
      <c r="H199" s="92"/>
      <c r="I199" s="66" t="s">
        <v>665</v>
      </c>
      <c r="J199" s="45">
        <v>18</v>
      </c>
      <c r="K199" s="116"/>
      <c r="L199" s="44">
        <v>2020</v>
      </c>
      <c r="M199" s="44"/>
      <c r="N199" s="47" t="str">
        <f>VLOOKUP(P199,budget!$A$2:$C$96,3,0)</f>
        <v>ჯანდაცვა</v>
      </c>
      <c r="O199" s="66" t="s">
        <v>55</v>
      </c>
      <c r="P199" s="46" t="s">
        <v>139</v>
      </c>
      <c r="Q199" s="47" t="str">
        <f>VLOOKUP(P199,budget!$A$2:$B$96,2,0)</f>
        <v>ახალშობილთა და ბავშვთა განვითარების შეფერხების პრევენცია და რეაბილიტაცია</v>
      </c>
      <c r="R199" s="114"/>
      <c r="S199" s="112">
        <v>13</v>
      </c>
      <c r="T199" s="113">
        <f t="shared" si="44"/>
        <v>30970.799999999999</v>
      </c>
      <c r="U199" s="113"/>
      <c r="V199" s="113">
        <v>30970.799999999999</v>
      </c>
      <c r="W199" s="113"/>
      <c r="X199" s="78" t="s">
        <v>456</v>
      </c>
      <c r="Y199" s="28">
        <f t="shared" si="45"/>
        <v>0.2000000000007276</v>
      </c>
      <c r="Z199" s="29"/>
    </row>
    <row r="200" spans="1:26" ht="27.75" customHeight="1">
      <c r="A200" s="243"/>
      <c r="B200" s="249"/>
      <c r="C200" s="246"/>
      <c r="D200" s="226" t="s">
        <v>235</v>
      </c>
      <c r="E200" s="125">
        <v>15224</v>
      </c>
      <c r="F200" s="91" t="s">
        <v>24</v>
      </c>
      <c r="G200" s="93" t="s">
        <v>394</v>
      </c>
      <c r="H200" s="92"/>
      <c r="I200" s="66"/>
      <c r="J200" s="45"/>
      <c r="K200" s="116"/>
      <c r="L200" s="44">
        <v>2020</v>
      </c>
      <c r="M200" s="44"/>
      <c r="N200" s="47" t="str">
        <f>VLOOKUP(P200,budget!$A$2:$C$96,3,0)</f>
        <v>ჯანდაცვა</v>
      </c>
      <c r="O200" s="66" t="s">
        <v>55</v>
      </c>
      <c r="P200" s="46" t="s">
        <v>139</v>
      </c>
      <c r="Q200" s="47" t="str">
        <f>VLOOKUP(P200,budget!$A$2:$B$96,2,0)</f>
        <v>ახალშობილთა და ბავშვთა განვითარების შეფერხების პრევენცია და რეაბილიტაცია</v>
      </c>
      <c r="R200" s="87"/>
      <c r="S200" s="112">
        <v>37</v>
      </c>
      <c r="T200" s="113">
        <f t="shared" si="44"/>
        <v>15215</v>
      </c>
      <c r="U200" s="113"/>
      <c r="V200" s="113">
        <v>15215</v>
      </c>
      <c r="W200" s="113"/>
      <c r="X200" s="78" t="s">
        <v>504</v>
      </c>
      <c r="Y200" s="28">
        <f t="shared" si="45"/>
        <v>9</v>
      </c>
      <c r="Z200" s="29"/>
    </row>
    <row r="201" spans="1:26" ht="23.25" customHeight="1">
      <c r="A201" s="243"/>
      <c r="B201" s="249"/>
      <c r="C201" s="246"/>
      <c r="D201" s="226" t="s">
        <v>446</v>
      </c>
      <c r="E201" s="125">
        <v>85200</v>
      </c>
      <c r="F201" s="142" t="s">
        <v>30</v>
      </c>
      <c r="G201" s="93" t="s">
        <v>397</v>
      </c>
      <c r="H201" s="92" t="str">
        <f>M201</f>
        <v>მე-10(1) მუხლ. მე-3 პუნქ. ”დ” ქვეპ.</v>
      </c>
      <c r="I201" s="66" t="s">
        <v>435</v>
      </c>
      <c r="J201" s="45">
        <v>5</v>
      </c>
      <c r="K201" s="116"/>
      <c r="L201" s="44">
        <v>2019</v>
      </c>
      <c r="M201" s="44" t="s">
        <v>61</v>
      </c>
      <c r="N201" s="47" t="str">
        <f>VLOOKUP(P201,budget!$A$2:$C$96,3,0)</f>
        <v>ჯანდაცვა</v>
      </c>
      <c r="O201" s="51"/>
      <c r="P201" s="46" t="s">
        <v>323</v>
      </c>
      <c r="Q201" s="47" t="str">
        <f>[8]budget!B13</f>
        <v>ქალაქ ბათუმის მუნიციპალიტეტის მერია</v>
      </c>
      <c r="R201" s="176"/>
      <c r="S201" s="112">
        <v>25</v>
      </c>
      <c r="T201" s="113">
        <f t="shared" si="44"/>
        <v>85200</v>
      </c>
      <c r="U201" s="113"/>
      <c r="V201" s="113">
        <v>85200</v>
      </c>
      <c r="W201" s="113"/>
      <c r="X201" s="78" t="s">
        <v>465</v>
      </c>
      <c r="Y201" s="28">
        <f t="shared" si="45"/>
        <v>0</v>
      </c>
      <c r="Z201" s="29"/>
    </row>
    <row r="202" spans="1:26" ht="27.75" customHeight="1">
      <c r="A202" s="243"/>
      <c r="B202" s="249"/>
      <c r="C202" s="246"/>
      <c r="D202" s="226" t="s">
        <v>341</v>
      </c>
      <c r="E202" s="125">
        <v>52500</v>
      </c>
      <c r="F202" s="91" t="s">
        <v>24</v>
      </c>
      <c r="G202" s="93" t="s">
        <v>394</v>
      </c>
      <c r="H202" s="92"/>
      <c r="I202" s="66"/>
      <c r="J202" s="45"/>
      <c r="K202" s="116"/>
      <c r="L202" s="44">
        <v>2020</v>
      </c>
      <c r="M202" s="44"/>
      <c r="N202" s="47" t="str">
        <f>VLOOKUP(P202,budget!$A$2:$C$96,3,0)</f>
        <v>ჯანდაცვა</v>
      </c>
      <c r="O202" s="51" t="s">
        <v>315</v>
      </c>
      <c r="P202" s="46" t="s">
        <v>133</v>
      </c>
      <c r="Q202" s="47" t="str">
        <f>VLOOKUP(P202,budget!$A$2:$B$96,2,0)</f>
        <v>ონკოლოგიურ დაავადებათა ადრეული ფორმების დიაგნოსტიკა და პრევენცია</v>
      </c>
      <c r="R202" s="138"/>
      <c r="S202" s="112"/>
      <c r="T202" s="113">
        <f t="shared" si="44"/>
        <v>0</v>
      </c>
      <c r="U202" s="113"/>
      <c r="V202" s="113"/>
      <c r="W202" s="113"/>
      <c r="X202" s="78"/>
      <c r="Y202" s="28" t="str">
        <f t="shared" si="45"/>
        <v>-</v>
      </c>
      <c r="Z202" s="29"/>
    </row>
    <row r="203" spans="1:26" ht="21" customHeight="1">
      <c r="A203" s="243"/>
      <c r="B203" s="249"/>
      <c r="C203" s="246"/>
      <c r="D203" s="226" t="s">
        <v>267</v>
      </c>
      <c r="E203" s="125">
        <f>182500-2380</f>
        <v>180120</v>
      </c>
      <c r="F203" s="91" t="s">
        <v>24</v>
      </c>
      <c r="G203" s="93" t="s">
        <v>394</v>
      </c>
      <c r="H203" s="92"/>
      <c r="I203" s="48" t="s">
        <v>666</v>
      </c>
      <c r="J203" s="45">
        <v>18</v>
      </c>
      <c r="K203" s="116"/>
      <c r="L203" s="44">
        <v>2020</v>
      </c>
      <c r="M203" s="44"/>
      <c r="N203" s="47" t="str">
        <f>VLOOKUP(P203,budget!$A$2:$C$96,3,0)</f>
        <v>ჯანდაცვა</v>
      </c>
      <c r="O203" s="66" t="s">
        <v>55</v>
      </c>
      <c r="P203" s="46" t="s">
        <v>136</v>
      </c>
      <c r="Q203" s="47" t="str">
        <f>VLOOKUP(P203,budget!$A$2:$B$96,2,0)</f>
        <v>მოწყვლადი ჯგუფების სტომატოლოგიური და  ორთოპედიული  მომსახურეობა</v>
      </c>
      <c r="R203" s="132"/>
      <c r="S203" s="112">
        <v>14</v>
      </c>
      <c r="T203" s="113">
        <f t="shared" si="44"/>
        <v>180120</v>
      </c>
      <c r="U203" s="113"/>
      <c r="V203" s="113">
        <v>180120</v>
      </c>
      <c r="W203" s="113"/>
      <c r="X203" s="78" t="s">
        <v>457</v>
      </c>
      <c r="Y203" s="28">
        <f t="shared" si="45"/>
        <v>0</v>
      </c>
      <c r="Z203" s="29"/>
    </row>
    <row r="204" spans="1:26" ht="33.75" customHeight="1">
      <c r="A204" s="243"/>
      <c r="B204" s="249"/>
      <c r="C204" s="246"/>
      <c r="D204" s="226" t="s">
        <v>496</v>
      </c>
      <c r="E204" s="125">
        <v>48000</v>
      </c>
      <c r="F204" s="91" t="s">
        <v>24</v>
      </c>
      <c r="G204" s="93" t="s">
        <v>397</v>
      </c>
      <c r="H204" s="92"/>
      <c r="I204" s="66" t="s">
        <v>435</v>
      </c>
      <c r="J204" s="45">
        <v>7</v>
      </c>
      <c r="K204" s="116"/>
      <c r="L204" s="44">
        <v>2020</v>
      </c>
      <c r="M204" s="44"/>
      <c r="N204" s="47" t="s">
        <v>246</v>
      </c>
      <c r="O204" s="51" t="s">
        <v>315</v>
      </c>
      <c r="P204" s="46" t="s">
        <v>143</v>
      </c>
      <c r="Q204" s="47" t="str">
        <f>VLOOKUP(P204,[16]budget!$A$2:$B$104,2,0)</f>
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</c>
      <c r="R204" s="176"/>
      <c r="S204" s="112"/>
      <c r="T204" s="113">
        <f t="shared" si="44"/>
        <v>0</v>
      </c>
      <c r="U204" s="113"/>
      <c r="V204" s="113"/>
      <c r="W204" s="113"/>
      <c r="X204" s="78"/>
      <c r="Y204" s="28" t="str">
        <f t="shared" si="45"/>
        <v>-</v>
      </c>
      <c r="Z204" s="29"/>
    </row>
    <row r="205" spans="1:26" ht="28.5" customHeight="1">
      <c r="A205" s="243">
        <v>77</v>
      </c>
      <c r="B205" s="249">
        <v>90500000</v>
      </c>
      <c r="C205" s="246" t="s">
        <v>424</v>
      </c>
      <c r="D205" s="181" t="s">
        <v>425</v>
      </c>
      <c r="E205" s="125">
        <f>3746700-178100</f>
        <v>3568600</v>
      </c>
      <c r="F205" s="137" t="s">
        <v>24</v>
      </c>
      <c r="G205" s="93" t="s">
        <v>394</v>
      </c>
      <c r="H205" s="92"/>
      <c r="I205" s="51" t="s">
        <v>437</v>
      </c>
      <c r="J205" s="45">
        <v>1</v>
      </c>
      <c r="K205" s="116"/>
      <c r="L205" s="44">
        <v>2020</v>
      </c>
      <c r="M205" s="44"/>
      <c r="N205" s="47" t="str">
        <f>VLOOKUP(P205,[14]budget!$A$2:$C$104,3,0)</f>
        <v>კეთილმოწყობა</v>
      </c>
      <c r="O205" s="66" t="s">
        <v>55</v>
      </c>
      <c r="P205" s="48" t="s">
        <v>114</v>
      </c>
      <c r="Q205" s="47" t="str">
        <f>VLOOKUP(P205,[14]budget!$A$2:$B$104,2,0)</f>
        <v>გზების, ქუჩებისა და ტროტუარების მიმდინარე მოვლა-პატრონობა</v>
      </c>
      <c r="R205" s="50"/>
      <c r="S205" s="112">
        <v>23</v>
      </c>
      <c r="T205" s="113">
        <f t="shared" si="44"/>
        <v>3568160</v>
      </c>
      <c r="U205" s="113"/>
      <c r="V205" s="113">
        <v>3568160</v>
      </c>
      <c r="W205" s="113"/>
      <c r="X205" s="78" t="s">
        <v>458</v>
      </c>
      <c r="Y205" s="28">
        <f t="shared" si="45"/>
        <v>440</v>
      </c>
      <c r="Z205" s="29"/>
    </row>
    <row r="206" spans="1:26" ht="27" customHeight="1">
      <c r="A206" s="243"/>
      <c r="B206" s="249"/>
      <c r="C206" s="246"/>
      <c r="D206" s="181" t="s">
        <v>425</v>
      </c>
      <c r="E206" s="125">
        <v>269400</v>
      </c>
      <c r="F206" s="137" t="s">
        <v>30</v>
      </c>
      <c r="G206" s="93" t="s">
        <v>394</v>
      </c>
      <c r="H206" s="92" t="str">
        <f>M206</f>
        <v>მე-10(1) მუხლ. მე-3 პუნქ. ”ბ” ქვეპ.</v>
      </c>
      <c r="I206" s="51" t="s">
        <v>435</v>
      </c>
      <c r="J206" s="45">
        <v>1</v>
      </c>
      <c r="K206" s="116"/>
      <c r="L206" s="44">
        <v>2020</v>
      </c>
      <c r="M206" s="44" t="s">
        <v>62</v>
      </c>
      <c r="N206" s="47" t="str">
        <f>VLOOKUP(P206,[14]budget!$A$2:$C$104,3,0)</f>
        <v>კეთილმოწყობა</v>
      </c>
      <c r="O206" s="66" t="s">
        <v>55</v>
      </c>
      <c r="P206" s="48" t="s">
        <v>114</v>
      </c>
      <c r="Q206" s="47" t="str">
        <f>VLOOKUP(P206,[14]budget!$A$2:$B$104,2,0)</f>
        <v>გზების, ქუჩებისა და ტროტუარების მიმდინარე მოვლა-პატრონობა</v>
      </c>
      <c r="R206" s="50"/>
      <c r="S206" s="112">
        <v>153</v>
      </c>
      <c r="T206" s="113">
        <f t="shared" si="44"/>
        <v>269400</v>
      </c>
      <c r="U206" s="113"/>
      <c r="V206" s="113">
        <v>269400</v>
      </c>
      <c r="W206" s="113"/>
      <c r="X206" s="78" t="s">
        <v>458</v>
      </c>
      <c r="Y206" s="28">
        <f t="shared" si="45"/>
        <v>0</v>
      </c>
      <c r="Z206" s="29"/>
    </row>
    <row r="207" spans="1:26" ht="25.5" customHeight="1">
      <c r="A207" s="243"/>
      <c r="B207" s="249"/>
      <c r="C207" s="246"/>
      <c r="D207" s="181" t="s">
        <v>428</v>
      </c>
      <c r="E207" s="125">
        <f>160000-3296</f>
        <v>156704</v>
      </c>
      <c r="F207" s="137" t="s">
        <v>24</v>
      </c>
      <c r="G207" s="93" t="s">
        <v>394</v>
      </c>
      <c r="H207" s="92"/>
      <c r="I207" s="51" t="s">
        <v>661</v>
      </c>
      <c r="J207" s="45">
        <v>18</v>
      </c>
      <c r="K207" s="116"/>
      <c r="L207" s="44">
        <v>2020</v>
      </c>
      <c r="M207" s="44"/>
      <c r="N207" s="47" t="str">
        <f>VLOOKUP(P207,[14]budget!$A$2:$C$104,3,0)</f>
        <v>კეთილმოწყობა</v>
      </c>
      <c r="O207" s="66" t="s">
        <v>55</v>
      </c>
      <c r="P207" s="48" t="s">
        <v>117</v>
      </c>
      <c r="Q207" s="47" t="str">
        <f>VLOOKUP(P207,[14]budget!$A$2:$B$104,2,0)</f>
        <v>ქალაქის დასუფთავება და ნარჩენების გატანა</v>
      </c>
      <c r="R207" s="50"/>
      <c r="S207" s="112">
        <v>170</v>
      </c>
      <c r="T207" s="113">
        <f t="shared" si="44"/>
        <v>156704</v>
      </c>
      <c r="U207" s="113"/>
      <c r="V207" s="113">
        <v>156704</v>
      </c>
      <c r="W207" s="113"/>
      <c r="X207" s="78" t="s">
        <v>478</v>
      </c>
      <c r="Y207" s="28">
        <f t="shared" si="45"/>
        <v>0</v>
      </c>
      <c r="Z207" s="29"/>
    </row>
    <row r="208" spans="1:26" ht="48" customHeight="1">
      <c r="A208" s="243">
        <v>78</v>
      </c>
      <c r="B208" s="249">
        <v>90600000</v>
      </c>
      <c r="C208" s="246" t="s">
        <v>422</v>
      </c>
      <c r="D208" s="181" t="s">
        <v>423</v>
      </c>
      <c r="E208" s="125">
        <f>5406306+63376.54-35233.94</f>
        <v>5434448.5999999996</v>
      </c>
      <c r="F208" s="137" t="s">
        <v>24</v>
      </c>
      <c r="G208" s="93" t="s">
        <v>394</v>
      </c>
      <c r="H208" s="92"/>
      <c r="I208" s="67" t="s">
        <v>670</v>
      </c>
      <c r="J208" s="45">
        <v>18</v>
      </c>
      <c r="K208" s="116"/>
      <c r="L208" s="44">
        <v>2020</v>
      </c>
      <c r="M208" s="44"/>
      <c r="N208" s="47" t="str">
        <f>VLOOKUP(P208,[14]budget!$A$2:$C$104,3,0)</f>
        <v>კეთილმოწყობა</v>
      </c>
      <c r="O208" s="51"/>
      <c r="P208" s="48" t="s">
        <v>114</v>
      </c>
      <c r="Q208" s="47" t="str">
        <f>VLOOKUP(P208,[14]budget!$A$2:$B$104,2,0)</f>
        <v>გზების, ქუჩებისა და ტროტუარების მიმდინარე მოვლა-პატრონობა</v>
      </c>
      <c r="R208" s="50"/>
      <c r="S208" s="112">
        <v>24</v>
      </c>
      <c r="T208" s="113">
        <f t="shared" si="44"/>
        <v>5434448.5999999996</v>
      </c>
      <c r="U208" s="113"/>
      <c r="V208" s="113">
        <v>5434448.5999999996</v>
      </c>
      <c r="W208" s="113"/>
      <c r="X208" s="78" t="s">
        <v>458</v>
      </c>
      <c r="Y208" s="28">
        <f t="shared" si="45"/>
        <v>0</v>
      </c>
      <c r="Z208" s="29"/>
    </row>
    <row r="209" spans="1:26" ht="50.25" customHeight="1">
      <c r="A209" s="243"/>
      <c r="B209" s="249"/>
      <c r="C209" s="246"/>
      <c r="D209" s="181" t="s">
        <v>423</v>
      </c>
      <c r="E209" s="125">
        <v>480059.46</v>
      </c>
      <c r="F209" s="137" t="s">
        <v>30</v>
      </c>
      <c r="G209" s="93" t="s">
        <v>394</v>
      </c>
      <c r="H209" s="92" t="str">
        <f>M209</f>
        <v>მე-10(1) მუხლ. მე-3 პუნქ. ”ბ” ქვეპ.</v>
      </c>
      <c r="I209" s="67" t="s">
        <v>435</v>
      </c>
      <c r="J209" s="45">
        <v>1</v>
      </c>
      <c r="K209" s="116"/>
      <c r="L209" s="44">
        <v>2020</v>
      </c>
      <c r="M209" s="44" t="s">
        <v>62</v>
      </c>
      <c r="N209" s="47" t="str">
        <f>VLOOKUP(P209,[14]budget!$A$2:$C$104,3,0)</f>
        <v>კეთილმოწყობა</v>
      </c>
      <c r="O209" s="51"/>
      <c r="P209" s="48" t="s">
        <v>114</v>
      </c>
      <c r="Q209" s="47" t="str">
        <f>VLOOKUP(P209,[14]budget!$A$2:$B$104,2,0)</f>
        <v>გზების, ქუჩებისა და ტროტუარების მიმდინარე მოვლა-პატრონობა</v>
      </c>
      <c r="R209" s="50"/>
      <c r="S209" s="112">
        <v>154</v>
      </c>
      <c r="T209" s="113">
        <f t="shared" si="44"/>
        <v>480059.46</v>
      </c>
      <c r="U209" s="113"/>
      <c r="V209" s="113">
        <v>480059.46</v>
      </c>
      <c r="W209" s="113"/>
      <c r="X209" s="78" t="s">
        <v>458</v>
      </c>
      <c r="Y209" s="28">
        <f t="shared" si="45"/>
        <v>0</v>
      </c>
      <c r="Z209" s="29"/>
    </row>
    <row r="210" spans="1:26" ht="24" customHeight="1">
      <c r="A210" s="243"/>
      <c r="B210" s="249"/>
      <c r="C210" s="246"/>
      <c r="D210" s="181" t="s">
        <v>227</v>
      </c>
      <c r="E210" s="125">
        <v>59000</v>
      </c>
      <c r="F210" s="137" t="s">
        <v>30</v>
      </c>
      <c r="G210" s="93" t="s">
        <v>397</v>
      </c>
      <c r="H210" s="92" t="str">
        <f>M210</f>
        <v>მე-10(1) მუხლ. მე-3 პუნქ. ”ბ” ქვეპ.</v>
      </c>
      <c r="I210" s="67" t="s">
        <v>435</v>
      </c>
      <c r="J210" s="45">
        <v>6</v>
      </c>
      <c r="K210" s="116"/>
      <c r="L210" s="44">
        <v>2020</v>
      </c>
      <c r="M210" s="44" t="s">
        <v>62</v>
      </c>
      <c r="N210" s="47" t="str">
        <f>VLOOKUP(P210,[5]budget!$A$2:$C$104,3,0)</f>
        <v>სანიტარული</v>
      </c>
      <c r="O210" s="51"/>
      <c r="P210" s="48" t="s">
        <v>224</v>
      </c>
      <c r="Q210" s="47" t="str">
        <f>VLOOKUP(P210,[5]budget!$A$2:$B$104,2,0)</f>
        <v>მაწანწალა ცხოველების  მოვლა-პატრონობისა და პოპულაციის რეგულირების  ღონისძიებები</v>
      </c>
      <c r="R210" s="50"/>
      <c r="S210" s="112">
        <v>36</v>
      </c>
      <c r="T210" s="113">
        <f t="shared" si="44"/>
        <v>59000</v>
      </c>
      <c r="U210" s="113"/>
      <c r="V210" s="113">
        <v>59000</v>
      </c>
      <c r="W210" s="113"/>
      <c r="X210" s="78" t="s">
        <v>478</v>
      </c>
      <c r="Y210" s="28">
        <f t="shared" si="45"/>
        <v>0</v>
      </c>
      <c r="Z210" s="29"/>
    </row>
    <row r="211" spans="1:26" ht="24.75" customHeight="1">
      <c r="A211" s="243"/>
      <c r="B211" s="249"/>
      <c r="C211" s="246"/>
      <c r="D211" s="181" t="s">
        <v>227</v>
      </c>
      <c r="E211" s="125">
        <f>252000-59000+62000</f>
        <v>255000</v>
      </c>
      <c r="F211" s="137" t="s">
        <v>24</v>
      </c>
      <c r="G211" s="93" t="s">
        <v>394</v>
      </c>
      <c r="H211" s="92"/>
      <c r="I211" s="67" t="s">
        <v>527</v>
      </c>
      <c r="J211" s="45">
        <v>8</v>
      </c>
      <c r="K211" s="116"/>
      <c r="L211" s="44">
        <v>2020</v>
      </c>
      <c r="M211" s="44"/>
      <c r="N211" s="47" t="str">
        <f>VLOOKUP(P211,[10]budget!$A$2:$C$104,3,0)</f>
        <v>სანიტარული</v>
      </c>
      <c r="O211" s="66" t="s">
        <v>55</v>
      </c>
      <c r="P211" s="48" t="s">
        <v>224</v>
      </c>
      <c r="Q211" s="47" t="str">
        <f>VLOOKUP(P211,[10]budget!$A$2:$B$104,2,0)</f>
        <v>მაწანწალა ცხოველების  მოვლა-პატრონობისა და პოპულაციის რეგულირების  ღონისძიებები</v>
      </c>
      <c r="R211" s="50"/>
      <c r="S211" s="112">
        <v>74</v>
      </c>
      <c r="T211" s="113">
        <f t="shared" si="44"/>
        <v>255000</v>
      </c>
      <c r="U211" s="113"/>
      <c r="V211" s="113">
        <v>255000</v>
      </c>
      <c r="W211" s="113"/>
      <c r="X211" s="78" t="s">
        <v>478</v>
      </c>
      <c r="Y211" s="28">
        <f t="shared" si="45"/>
        <v>0</v>
      </c>
      <c r="Z211" s="29"/>
    </row>
    <row r="212" spans="1:26" ht="47.25" customHeight="1">
      <c r="A212" s="248">
        <v>79</v>
      </c>
      <c r="B212" s="249">
        <v>90900000</v>
      </c>
      <c r="C212" s="246" t="s">
        <v>19</v>
      </c>
      <c r="D212" s="181" t="s">
        <v>265</v>
      </c>
      <c r="E212" s="125">
        <f>370000-38</f>
        <v>369962</v>
      </c>
      <c r="F212" s="137" t="s">
        <v>24</v>
      </c>
      <c r="G212" s="93" t="s">
        <v>394</v>
      </c>
      <c r="H212" s="92"/>
      <c r="I212" s="148" t="s">
        <v>667</v>
      </c>
      <c r="J212" s="45">
        <v>18</v>
      </c>
      <c r="K212" s="118"/>
      <c r="L212" s="53">
        <v>2020</v>
      </c>
      <c r="M212" s="44"/>
      <c r="N212" s="47" t="str">
        <f>VLOOKUP(P212,budget!$A$2:$C$96,3,0)</f>
        <v>სანიტარული</v>
      </c>
      <c r="O212" s="66"/>
      <c r="P212" s="48" t="s">
        <v>223</v>
      </c>
      <c r="Q212" s="47" t="str">
        <f>VLOOKUP(P212,budget!$A$2:$B$96,2,0)</f>
        <v>დეზინსექცია დერატიზაციის ღონისძიებები</v>
      </c>
      <c r="R212" s="50"/>
      <c r="S212" s="112">
        <v>15</v>
      </c>
      <c r="T212" s="113">
        <f t="shared" si="44"/>
        <v>369962</v>
      </c>
      <c r="U212" s="113"/>
      <c r="V212" s="113">
        <v>369962</v>
      </c>
      <c r="W212" s="113"/>
      <c r="X212" s="78" t="s">
        <v>458</v>
      </c>
      <c r="Y212" s="28">
        <f t="shared" si="45"/>
        <v>0</v>
      </c>
      <c r="Z212" s="29"/>
    </row>
    <row r="213" spans="1:26" ht="28.5" customHeight="1">
      <c r="A213" s="248"/>
      <c r="B213" s="249"/>
      <c r="C213" s="246"/>
      <c r="D213" s="181" t="s">
        <v>20</v>
      </c>
      <c r="E213" s="125">
        <f>90000-11558</f>
        <v>78442</v>
      </c>
      <c r="F213" s="91" t="s">
        <v>24</v>
      </c>
      <c r="G213" s="93" t="s">
        <v>394</v>
      </c>
      <c r="H213" s="92"/>
      <c r="I213" s="148" t="s">
        <v>658</v>
      </c>
      <c r="J213" s="45">
        <v>18</v>
      </c>
      <c r="K213" s="118"/>
      <c r="L213" s="53">
        <v>2020</v>
      </c>
      <c r="M213" s="44"/>
      <c r="N213" s="47" t="str">
        <f>VLOOKUP(P213,budget!$A$2:$C$96,3,0)</f>
        <v>აპარატი - მატერ-ტექნიკ.</v>
      </c>
      <c r="O213" s="66" t="s">
        <v>55</v>
      </c>
      <c r="P213" s="48" t="s">
        <v>239</v>
      </c>
      <c r="Q213" s="47" t="str">
        <f>VLOOKUP(P213,budget!$A$2:$B$96,2,0)</f>
        <v>ქალაქ ბათუმის მუნიციპალიტეტის მერია</v>
      </c>
      <c r="R213" s="50"/>
      <c r="S213" s="208">
        <v>159</v>
      </c>
      <c r="T213" s="209">
        <f t="shared" si="44"/>
        <v>78442</v>
      </c>
      <c r="U213" s="209"/>
      <c r="V213" s="209">
        <v>78442</v>
      </c>
      <c r="W213" s="209"/>
      <c r="X213" s="207" t="s">
        <v>471</v>
      </c>
      <c r="Y213" s="28">
        <f t="shared" si="45"/>
        <v>0</v>
      </c>
      <c r="Z213" s="29"/>
    </row>
    <row r="214" spans="1:26" ht="33.75" customHeight="1">
      <c r="A214" s="248">
        <v>80</v>
      </c>
      <c r="B214" s="249">
        <v>92200000</v>
      </c>
      <c r="C214" s="246" t="s">
        <v>150</v>
      </c>
      <c r="D214" s="181" t="s">
        <v>151</v>
      </c>
      <c r="E214" s="125">
        <f>20*12*12</f>
        <v>2880</v>
      </c>
      <c r="F214" s="91" t="s">
        <v>30</v>
      </c>
      <c r="G214" s="93" t="s">
        <v>394</v>
      </c>
      <c r="H214" s="141" t="str">
        <f>M214</f>
        <v>მე-3 მუხ. 1-ლი პუნქ. "ს" ქვეპუნ.</v>
      </c>
      <c r="I214" s="51"/>
      <c r="J214" s="45"/>
      <c r="K214" s="116"/>
      <c r="L214" s="21">
        <v>2020</v>
      </c>
      <c r="M214" s="54" t="s">
        <v>31</v>
      </c>
      <c r="N214" s="47" t="str">
        <f>VLOOKUP(P214,budget!$A$2:$C$96,3,0)</f>
        <v>აპარატი - მატერ-ტექნიკ.</v>
      </c>
      <c r="O214" s="66"/>
      <c r="P214" s="48" t="s">
        <v>239</v>
      </c>
      <c r="Q214" s="47" t="str">
        <f>VLOOKUP(P214,budget!$A$2:$B$96,2,0)</f>
        <v>ქალაქ ბათუმის მუნიციპალიტეტის მერია</v>
      </c>
      <c r="R214" s="50"/>
      <c r="S214" s="112" t="s">
        <v>473</v>
      </c>
      <c r="T214" s="113">
        <f t="shared" si="44"/>
        <v>2640</v>
      </c>
      <c r="U214" s="113"/>
      <c r="V214" s="113">
        <f>960+1680</f>
        <v>2640</v>
      </c>
      <c r="W214" s="113"/>
      <c r="X214" s="78" t="s">
        <v>474</v>
      </c>
      <c r="Y214" s="28">
        <f t="shared" si="45"/>
        <v>240</v>
      </c>
      <c r="Z214" s="29"/>
    </row>
    <row r="215" spans="1:26" ht="33.75" customHeight="1">
      <c r="A215" s="248"/>
      <c r="B215" s="249"/>
      <c r="C215" s="246"/>
      <c r="D215" s="181" t="s">
        <v>151</v>
      </c>
      <c r="E215" s="125">
        <v>1350</v>
      </c>
      <c r="F215" s="91" t="s">
        <v>30</v>
      </c>
      <c r="G215" s="237" t="s">
        <v>397</v>
      </c>
      <c r="H215" s="92" t="s">
        <v>31</v>
      </c>
      <c r="I215" s="51" t="s">
        <v>484</v>
      </c>
      <c r="J215" s="45">
        <v>8</v>
      </c>
      <c r="K215" s="116"/>
      <c r="L215" s="21">
        <v>2020</v>
      </c>
      <c r="M215" s="54" t="s">
        <v>31</v>
      </c>
      <c r="N215" s="47" t="str">
        <f>VLOOKUP(P215,budget!$A$2:$C$96,3,0)</f>
        <v>საკრებულო</v>
      </c>
      <c r="O215" s="66"/>
      <c r="P215" s="48" t="s">
        <v>343</v>
      </c>
      <c r="Q215" s="47" t="str">
        <f>VLOOKUP(P215,budget!$A$2:$B$96,2,0)</f>
        <v>ქალაქ ბათუმის მუნიციპალიტეტის საკრებულო</v>
      </c>
      <c r="R215" s="50"/>
      <c r="S215" s="208">
        <v>168</v>
      </c>
      <c r="T215" s="209">
        <f t="shared" si="44"/>
        <v>1344</v>
      </c>
      <c r="U215" s="209"/>
      <c r="V215" s="209">
        <v>1344</v>
      </c>
      <c r="W215" s="209"/>
      <c r="X215" s="207" t="s">
        <v>476</v>
      </c>
      <c r="Y215" s="28">
        <f t="shared" si="45"/>
        <v>6</v>
      </c>
      <c r="Z215" s="29"/>
    </row>
    <row r="216" spans="1:26" ht="45" customHeight="1">
      <c r="A216" s="238">
        <v>81</v>
      </c>
      <c r="B216" s="179">
        <v>92300000</v>
      </c>
      <c r="C216" s="236" t="s">
        <v>391</v>
      </c>
      <c r="D216" s="226" t="s">
        <v>392</v>
      </c>
      <c r="E216" s="125">
        <v>4950</v>
      </c>
      <c r="F216" s="91" t="s">
        <v>30</v>
      </c>
      <c r="G216" s="237" t="s">
        <v>398</v>
      </c>
      <c r="H216" s="92" t="s">
        <v>31</v>
      </c>
      <c r="I216" s="48" t="s">
        <v>489</v>
      </c>
      <c r="J216" s="45">
        <v>7</v>
      </c>
      <c r="K216" s="117"/>
      <c r="L216" s="21">
        <v>2020</v>
      </c>
      <c r="M216" s="44"/>
      <c r="N216" s="47" t="str">
        <f>VLOOKUP(P216,budget!$A$2:$C$96,3,0)</f>
        <v>ახალგაზ. და სპორტი</v>
      </c>
      <c r="O216" s="48"/>
      <c r="P216" s="48" t="s">
        <v>331</v>
      </c>
      <c r="Q216" s="47" t="str">
        <f>VLOOKUP(P216,budget!$A$2:$B$96,2,0)</f>
        <v>ახალგაზრდული ცენტრი</v>
      </c>
      <c r="R216" s="50"/>
      <c r="S216" s="112">
        <v>47</v>
      </c>
      <c r="T216" s="113">
        <f t="shared" si="44"/>
        <v>4950</v>
      </c>
      <c r="U216" s="113"/>
      <c r="V216" s="113">
        <v>4950</v>
      </c>
      <c r="W216" s="113"/>
      <c r="X216" s="78" t="s">
        <v>536</v>
      </c>
      <c r="Y216" s="28">
        <f t="shared" si="45"/>
        <v>0</v>
      </c>
      <c r="Z216" s="29"/>
    </row>
    <row r="217" spans="1:26" ht="36" customHeight="1">
      <c r="A217" s="238">
        <v>82</v>
      </c>
      <c r="B217" s="237">
        <v>98300000</v>
      </c>
      <c r="C217" s="236" t="s">
        <v>402</v>
      </c>
      <c r="D217" s="181" t="s">
        <v>403</v>
      </c>
      <c r="E217" s="125">
        <f>17000-12328</f>
        <v>4672</v>
      </c>
      <c r="F217" s="91" t="s">
        <v>24</v>
      </c>
      <c r="G217" s="93" t="s">
        <v>394</v>
      </c>
      <c r="H217" s="92"/>
      <c r="I217" s="48" t="s">
        <v>664</v>
      </c>
      <c r="J217" s="45">
        <v>18</v>
      </c>
      <c r="K217" s="116"/>
      <c r="L217" s="44">
        <v>2020</v>
      </c>
      <c r="M217" s="44"/>
      <c r="N217" s="47" t="str">
        <f>VLOOKUP(P217,budget!$A$2:$C$96,3,0)</f>
        <v>ახალგაზ. და სპორტი</v>
      </c>
      <c r="O217" s="66" t="s">
        <v>55</v>
      </c>
      <c r="P217" s="66" t="s">
        <v>331</v>
      </c>
      <c r="Q217" s="47" t="str">
        <f>VLOOKUP(P217,budget!$A$2:$B$96,2,0)</f>
        <v>ახალგაზრდული ცენტრი</v>
      </c>
      <c r="R217" s="52"/>
      <c r="S217" s="112"/>
      <c r="T217" s="113"/>
      <c r="U217" s="113"/>
      <c r="V217" s="113"/>
      <c r="W217" s="113"/>
      <c r="X217" s="78"/>
      <c r="Y217" s="28" t="str">
        <f t="shared" si="45"/>
        <v>-</v>
      </c>
      <c r="Z217" s="29"/>
    </row>
    <row r="218" spans="1:26" ht="14.25" customHeight="1"/>
    <row r="224" spans="1:26">
      <c r="E224" s="150"/>
      <c r="F224" s="151"/>
    </row>
    <row r="225" spans="1:25">
      <c r="E225" s="150"/>
      <c r="F225" s="151"/>
    </row>
    <row r="226" spans="1:25">
      <c r="E226" s="150"/>
      <c r="F226" s="151"/>
    </row>
    <row r="228" spans="1:25">
      <c r="E228" s="150"/>
      <c r="F228" s="151"/>
    </row>
    <row r="231" spans="1:25">
      <c r="A231" s="22"/>
      <c r="B231" s="22"/>
      <c r="C231" s="22"/>
      <c r="E231" s="2"/>
      <c r="F231" s="2"/>
      <c r="G231" s="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164"/>
      <c r="X231" s="162"/>
      <c r="Y231" s="22"/>
    </row>
    <row r="233" spans="1:25">
      <c r="A233" s="22"/>
      <c r="B233" s="22"/>
      <c r="C233" s="22"/>
      <c r="E233" s="2"/>
      <c r="F233" s="2"/>
      <c r="G233" s="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164"/>
      <c r="X233" s="162"/>
      <c r="Y233" s="22"/>
    </row>
  </sheetData>
  <autoFilter ref="A7:AB217" xr:uid="{00000000-0009-0000-0000-000000000000}"/>
  <dataConsolidate/>
  <mergeCells count="170">
    <mergeCell ref="A121:A123"/>
    <mergeCell ref="B121:B123"/>
    <mergeCell ref="C121:C123"/>
    <mergeCell ref="A2:H2"/>
    <mergeCell ref="E3:H3"/>
    <mergeCell ref="E4:H4"/>
    <mergeCell ref="E5:F5"/>
    <mergeCell ref="C6:D6"/>
    <mergeCell ref="A3:D3"/>
    <mergeCell ref="A4:D4"/>
    <mergeCell ref="A5:D5"/>
    <mergeCell ref="B12:B14"/>
    <mergeCell ref="A10:A11"/>
    <mergeCell ref="A8:A9"/>
    <mergeCell ref="C102:C103"/>
    <mergeCell ref="B78:B80"/>
    <mergeCell ref="C78:C80"/>
    <mergeCell ref="B102:B103"/>
    <mergeCell ref="A102:A103"/>
    <mergeCell ref="A97:A99"/>
    <mergeCell ref="B97:B99"/>
    <mergeCell ref="A110:A111"/>
    <mergeCell ref="B110:B111"/>
    <mergeCell ref="A115:A116"/>
    <mergeCell ref="B115:B116"/>
    <mergeCell ref="C115:C116"/>
    <mergeCell ref="A112:A113"/>
    <mergeCell ref="B112:B113"/>
    <mergeCell ref="C112:C113"/>
    <mergeCell ref="B165:B166"/>
    <mergeCell ref="C165:C166"/>
    <mergeCell ref="A182:A183"/>
    <mergeCell ref="B182:B183"/>
    <mergeCell ref="C182:C183"/>
    <mergeCell ref="A177:A180"/>
    <mergeCell ref="B177:B180"/>
    <mergeCell ref="C177:C180"/>
    <mergeCell ref="B152:B158"/>
    <mergeCell ref="C152:C158"/>
    <mergeCell ref="A159:A160"/>
    <mergeCell ref="C149:C151"/>
    <mergeCell ref="B137:B138"/>
    <mergeCell ref="C137:C138"/>
    <mergeCell ref="A144:A147"/>
    <mergeCell ref="A161:A162"/>
    <mergeCell ref="B161:B162"/>
    <mergeCell ref="C161:C162"/>
    <mergeCell ref="C144:C147"/>
    <mergeCell ref="A152:A158"/>
    <mergeCell ref="B214:B215"/>
    <mergeCell ref="C214:C215"/>
    <mergeCell ref="A214:A215"/>
    <mergeCell ref="A212:A213"/>
    <mergeCell ref="B212:B213"/>
    <mergeCell ref="C212:C213"/>
    <mergeCell ref="A208:A211"/>
    <mergeCell ref="B208:B211"/>
    <mergeCell ref="C208:C211"/>
    <mergeCell ref="A194:A195"/>
    <mergeCell ref="B194:B195"/>
    <mergeCell ref="C194:C195"/>
    <mergeCell ref="C159:C160"/>
    <mergeCell ref="A205:A207"/>
    <mergeCell ref="B205:B207"/>
    <mergeCell ref="C205:C207"/>
    <mergeCell ref="C196:C204"/>
    <mergeCell ref="B196:B204"/>
    <mergeCell ref="A196:A204"/>
    <mergeCell ref="A185:A193"/>
    <mergeCell ref="B185:B193"/>
    <mergeCell ref="C185:C193"/>
    <mergeCell ref="B170:B175"/>
    <mergeCell ref="A165:A166"/>
    <mergeCell ref="B76:B77"/>
    <mergeCell ref="C76:C77"/>
    <mergeCell ref="A94:A96"/>
    <mergeCell ref="B94:B96"/>
    <mergeCell ref="C94:C96"/>
    <mergeCell ref="A32:A35"/>
    <mergeCell ref="B32:B35"/>
    <mergeCell ref="C32:C35"/>
    <mergeCell ref="B132:B133"/>
    <mergeCell ref="C132:C133"/>
    <mergeCell ref="A132:A133"/>
    <mergeCell ref="C170:C175"/>
    <mergeCell ref="A149:A151"/>
    <mergeCell ref="B149:B151"/>
    <mergeCell ref="A134:A136"/>
    <mergeCell ref="B134:B136"/>
    <mergeCell ref="C134:C136"/>
    <mergeCell ref="B159:B160"/>
    <mergeCell ref="A170:A175"/>
    <mergeCell ref="C97:C99"/>
    <mergeCell ref="C130:C131"/>
    <mergeCell ref="B144:B147"/>
    <mergeCell ref="K3:L3"/>
    <mergeCell ref="K4:L4"/>
    <mergeCell ref="B74:B75"/>
    <mergeCell ref="C74:C75"/>
    <mergeCell ref="C12:C14"/>
    <mergeCell ref="B52:B65"/>
    <mergeCell ref="C52:C65"/>
    <mergeCell ref="B42:B51"/>
    <mergeCell ref="C42:C51"/>
    <mergeCell ref="B67:B68"/>
    <mergeCell ref="C67:C68"/>
    <mergeCell ref="C69:C70"/>
    <mergeCell ref="B69:B70"/>
    <mergeCell ref="B10:B11"/>
    <mergeCell ref="C10:C11"/>
    <mergeCell ref="B20:B23"/>
    <mergeCell ref="C20:C23"/>
    <mergeCell ref="B8:B9"/>
    <mergeCell ref="C8:C9"/>
    <mergeCell ref="B24:B27"/>
    <mergeCell ref="C24:C27"/>
    <mergeCell ref="B29:B31"/>
    <mergeCell ref="C29:C31"/>
    <mergeCell ref="S6:X6"/>
    <mergeCell ref="A74:A75"/>
    <mergeCell ref="A12:A14"/>
    <mergeCell ref="A40:A41"/>
    <mergeCell ref="B40:B41"/>
    <mergeCell ref="C40:C41"/>
    <mergeCell ref="A42:A51"/>
    <mergeCell ref="A78:A80"/>
    <mergeCell ref="B71:B73"/>
    <mergeCell ref="C71:C73"/>
    <mergeCell ref="A17:A19"/>
    <mergeCell ref="B17:B19"/>
    <mergeCell ref="C17:C19"/>
    <mergeCell ref="A20:A23"/>
    <mergeCell ref="A15:A16"/>
    <mergeCell ref="B15:B16"/>
    <mergeCell ref="C15:C16"/>
    <mergeCell ref="A52:A65"/>
    <mergeCell ref="A67:A68"/>
    <mergeCell ref="A69:A70"/>
    <mergeCell ref="A24:A27"/>
    <mergeCell ref="A71:A73"/>
    <mergeCell ref="A29:A31"/>
    <mergeCell ref="A76:A77"/>
    <mergeCell ref="A126:A127"/>
    <mergeCell ref="A140:A141"/>
    <mergeCell ref="B140:B141"/>
    <mergeCell ref="C140:C141"/>
    <mergeCell ref="A142:A143"/>
    <mergeCell ref="B142:B143"/>
    <mergeCell ref="C142:C143"/>
    <mergeCell ref="B117:B118"/>
    <mergeCell ref="C117:C118"/>
    <mergeCell ref="A117:A118"/>
    <mergeCell ref="A130:A131"/>
    <mergeCell ref="B130:B131"/>
    <mergeCell ref="B126:B127"/>
    <mergeCell ref="C126:C127"/>
    <mergeCell ref="A128:A129"/>
    <mergeCell ref="B128:B129"/>
    <mergeCell ref="C128:C129"/>
    <mergeCell ref="A137:A138"/>
    <mergeCell ref="C110:C111"/>
    <mergeCell ref="A81:A85"/>
    <mergeCell ref="B81:B85"/>
    <mergeCell ref="C81:C85"/>
    <mergeCell ref="A108:A109"/>
    <mergeCell ref="B108:B109"/>
    <mergeCell ref="C108:C109"/>
    <mergeCell ref="A86:A93"/>
    <mergeCell ref="B86:B93"/>
    <mergeCell ref="C86:C93"/>
  </mergeCells>
  <printOptions horizontalCentered="1"/>
  <pageMargins left="0.11811023622047245" right="0.11811023622047245" top="0.59055118110236227" bottom="0.31496062992125984" header="0.31496062992125984" footer="0.19685039370078741"/>
  <pageSetup paperSize="9" scale="83" orientation="landscape" r:id="rId1"/>
  <headerFooter>
    <oddFooter>&amp;R&amp;"Sylfaen,обычный"&amp;9&amp;P</oddFooter>
  </headerFooter>
  <rowBreaks count="3" manualBreakCount="3">
    <brk id="63" max="7" man="1"/>
    <brk id="82" max="7" man="1"/>
    <brk id="99" max="7" man="1"/>
  </rowBreaks>
  <ignoredErrors>
    <ignoredError sqref="N13 H35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0000000}">
          <x14:formula1>
            <xm:f>list!$A$18:$A$23</xm:f>
          </x14:formula1>
          <xm:sqref>O41 O182:O183 O15:O17 O179:O180 O143 O204 O121 O173:O174 O43:O45 O19:O21 O37:O39 O138:O139 O141 O146:O153 O109:O119 O165:O166 O97:O99 O34 O169 O185:O191 O125:O131 O23 O202 O101:O105 O214:O216 O107 O63:O73 O9:O13 O157:O160 O194:O195 O49:O59 O212 O78:O95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1000000}">
          <x14:formula1>
            <xm:f>'C:\Users\Iamze Zosidze\Desktop\გეგმა 2019\[19- 2019- წლის შესყიდვების გეგმა - 23.10.2019.xlsx]list'!#REF!</xm:f>
          </x14:formula1>
          <xm:sqref>O208:O209 O177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2000000}">
          <x14:formula1>
            <xm:f>'C:\Users\Iamze Zosidze\Desktop\გეგმა 2019\[20- 2019- წლის შესყიდვების გეგმა - 03.12.2019.xlsx]list'!#REF!</xm:f>
          </x14:formula1>
          <xm:sqref>O184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3000000}">
          <x14:formula1>
            <xm:f>'C:\Users\Iamze Zosidze\Desktop\2019 წელი\გეგმა 2019\[1 - 2019- წლის შესყიდვების გეგმა - 20.11.18.xlsx]list'!#REF!</xm:f>
          </x14:formula1>
          <xm:sqref>O137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4000000}">
          <x14:formula1>
            <xm:f>'C:\Users\Iamze Zosidze\Desktop\2019 წელი\გეგმა 2019\[21- 2019- წლის შესყიდვების გეგმა - 11.12.2019 - Copy.xlsx]list'!#REF!</xm:f>
          </x14:formula1>
          <xm:sqref>O32:O33 O120 O161:O164 O193 O211 O106 O74:O76 O35:O36 O108 O132:O136 O14 O46:O48 O40 O42 O26 O24 O144:O145 O205:O207 O181 O196:O201 O203 O167 O175:O176 O170:O172 O154:O156 O213 O217 O178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5000000}">
          <x14:formula1>
            <xm:f>'C:\Users\Iamze Zosidze\AppData\Roaming\Microsoft\Excel\[6- 2020 წლის შესყიდვების გეგმა - 23.01 (version 1).xlsb]list'!#REF!</xm:f>
          </x14:formula1>
          <xm:sqref>O18 O22 O25 O142 O140 O27:O31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6000000}">
          <x14:formula1>
            <xm:f>'C:\Users\Iamze Zosidze\Desktop\[6- 2020 წლის შესყიდვების გეგმა - 05.02.2020.xlsx]list'!#REF!</xm:f>
          </x14:formula1>
          <xm:sqref>O210 O8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7000000}">
          <x14:formula1>
            <xm:f>'C:\Users\Tengiz Abuseridze\Desktop\შესყიდვების გეგმა 2020\[8- 2020 წლის შესყიდვების გეგმა - 09.03.2020.xlsx]list'!#REF!</xm:f>
          </x14:formula1>
          <xm:sqref>O77 O96 O100 O192 O122:O123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8000000}">
          <x14:formula1>
            <xm:f>'F:\ტენდერები-2019\გეგმა 2019\[19- 2019- წლის შესყიდვების გეგმა - 23.10.2019.xlsx]list'!#REF!</xm:f>
          </x14:formula1>
          <xm:sqref>O124 O60:O62 O168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14" sqref="A14"/>
    </sheetView>
  </sheetViews>
  <sheetFormatPr defaultRowHeight="14.4"/>
  <cols>
    <col min="1" max="1" width="37.109375" customWidth="1"/>
    <col min="2" max="2" width="88.33203125" customWidth="1"/>
  </cols>
  <sheetData>
    <row r="1" spans="1:2">
      <c r="A1" s="15" t="s">
        <v>71</v>
      </c>
      <c r="B1" s="15" t="s">
        <v>72</v>
      </c>
    </row>
    <row r="2" spans="1:2">
      <c r="A2" s="15"/>
      <c r="B2" s="15"/>
    </row>
    <row r="3" spans="1:2" ht="27.6">
      <c r="A3" s="18" t="s">
        <v>31</v>
      </c>
      <c r="B3" s="19" t="s">
        <v>85</v>
      </c>
    </row>
    <row r="4" spans="1:2" ht="27.6">
      <c r="A4" s="18" t="s">
        <v>64</v>
      </c>
      <c r="B4" s="19" t="s">
        <v>70</v>
      </c>
    </row>
    <row r="5" spans="1:2">
      <c r="A5" s="18" t="s">
        <v>62</v>
      </c>
      <c r="B5" s="19" t="s">
        <v>73</v>
      </c>
    </row>
    <row r="6" spans="1:2" ht="27.6">
      <c r="A6" s="18" t="s">
        <v>68</v>
      </c>
      <c r="B6" s="19" t="s">
        <v>74</v>
      </c>
    </row>
    <row r="7" spans="1:2" ht="41.4">
      <c r="A7" s="18" t="s">
        <v>61</v>
      </c>
      <c r="B7" s="19" t="s">
        <v>75</v>
      </c>
    </row>
    <row r="8" spans="1:2" ht="55.2">
      <c r="A8" s="18" t="s">
        <v>87</v>
      </c>
      <c r="B8" s="19" t="s">
        <v>76</v>
      </c>
    </row>
    <row r="9" spans="1:2">
      <c r="A9" s="18" t="s">
        <v>83</v>
      </c>
      <c r="B9" s="19" t="s">
        <v>84</v>
      </c>
    </row>
    <row r="10" spans="1:2" ht="27.6">
      <c r="A10" s="18" t="s">
        <v>63</v>
      </c>
      <c r="B10" s="19" t="s">
        <v>77</v>
      </c>
    </row>
    <row r="11" spans="1:2" ht="55.2">
      <c r="A11" s="18" t="s">
        <v>78</v>
      </c>
      <c r="B11" s="19" t="s">
        <v>79</v>
      </c>
    </row>
    <row r="12" spans="1:2" ht="55.2">
      <c r="A12" s="18" t="s">
        <v>81</v>
      </c>
      <c r="B12" s="19" t="s">
        <v>80</v>
      </c>
    </row>
    <row r="13" spans="1:2" ht="69">
      <c r="A13" s="18" t="s">
        <v>82</v>
      </c>
      <c r="B13" s="19" t="s">
        <v>86</v>
      </c>
    </row>
    <row r="14" spans="1:2" ht="27.6">
      <c r="A14" s="70" t="s">
        <v>172</v>
      </c>
      <c r="B14" s="69" t="s">
        <v>173</v>
      </c>
    </row>
    <row r="15" spans="1:2">
      <c r="A15" s="16"/>
      <c r="B15" s="16"/>
    </row>
    <row r="16" spans="1:2">
      <c r="A16" s="17"/>
      <c r="B16" s="17"/>
    </row>
    <row r="18" spans="1:2">
      <c r="A18" s="20" t="s">
        <v>57</v>
      </c>
    </row>
    <row r="19" spans="1:2">
      <c r="A19" s="20" t="s">
        <v>69</v>
      </c>
    </row>
    <row r="20" spans="1:2">
      <c r="A20" s="20" t="s">
        <v>55</v>
      </c>
    </row>
    <row r="21" spans="1:2">
      <c r="A21" s="20" t="s">
        <v>316</v>
      </c>
    </row>
    <row r="22" spans="1:2">
      <c r="A22" s="20" t="s">
        <v>58</v>
      </c>
    </row>
    <row r="23" spans="1:2">
      <c r="A23" s="20" t="s">
        <v>315</v>
      </c>
    </row>
    <row r="25" spans="1:2">
      <c r="A25" s="17"/>
      <c r="B25" s="17"/>
    </row>
    <row r="27" spans="1:2">
      <c r="A27" s="20" t="s">
        <v>24</v>
      </c>
    </row>
    <row r="28" spans="1:2">
      <c r="A28" s="20" t="s">
        <v>25</v>
      </c>
    </row>
    <row r="29" spans="1:2">
      <c r="A29" s="20" t="s">
        <v>30</v>
      </c>
    </row>
    <row r="30" spans="1:2">
      <c r="A30" s="20" t="s">
        <v>42</v>
      </c>
    </row>
    <row r="32" spans="1:2">
      <c r="A32" s="17"/>
      <c r="B32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6"/>
  <sheetViews>
    <sheetView zoomScaleNormal="100" workbookViewId="0">
      <selection activeCell="B13" sqref="B13"/>
    </sheetView>
  </sheetViews>
  <sheetFormatPr defaultRowHeight="14.4"/>
  <cols>
    <col min="2" max="2" width="63.88671875" customWidth="1"/>
    <col min="3" max="3" width="68.44140625" style="16" customWidth="1"/>
  </cols>
  <sheetData>
    <row r="1" spans="1:3">
      <c r="A1" s="65" t="s">
        <v>53</v>
      </c>
      <c r="B1" s="65" t="s">
        <v>54</v>
      </c>
      <c r="C1" s="128" t="s">
        <v>314</v>
      </c>
    </row>
    <row r="2" spans="1:3" ht="26.4">
      <c r="A2" s="79" t="s">
        <v>112</v>
      </c>
      <c r="B2" s="80" t="s">
        <v>113</v>
      </c>
    </row>
    <row r="3" spans="1:3">
      <c r="A3" s="81" t="s">
        <v>91</v>
      </c>
      <c r="B3" s="82" t="s">
        <v>161</v>
      </c>
      <c r="C3" s="129" t="s">
        <v>169</v>
      </c>
    </row>
    <row r="4" spans="1:3">
      <c r="A4" s="83" t="s">
        <v>239</v>
      </c>
      <c r="B4" s="90" t="s">
        <v>161</v>
      </c>
      <c r="C4" s="129" t="s">
        <v>247</v>
      </c>
    </row>
    <row r="5" spans="1:3">
      <c r="A5" s="83" t="s">
        <v>240</v>
      </c>
      <c r="B5" s="90" t="s">
        <v>161</v>
      </c>
      <c r="C5" s="129" t="s">
        <v>245</v>
      </c>
    </row>
    <row r="6" spans="1:3">
      <c r="A6" s="83" t="s">
        <v>241</v>
      </c>
      <c r="B6" s="90" t="s">
        <v>161</v>
      </c>
      <c r="C6" s="129" t="s">
        <v>248</v>
      </c>
    </row>
    <row r="7" spans="1:3">
      <c r="A7" s="83" t="s">
        <v>242</v>
      </c>
      <c r="B7" s="90" t="s">
        <v>161</v>
      </c>
      <c r="C7" s="129" t="s">
        <v>252</v>
      </c>
    </row>
    <row r="8" spans="1:3">
      <c r="A8" s="83" t="s">
        <v>243</v>
      </c>
      <c r="B8" s="90" t="s">
        <v>161</v>
      </c>
      <c r="C8" s="129" t="s">
        <v>270</v>
      </c>
    </row>
    <row r="9" spans="1:3">
      <c r="A9" s="83" t="s">
        <v>255</v>
      </c>
      <c r="B9" s="90" t="s">
        <v>161</v>
      </c>
      <c r="C9" s="129" t="s">
        <v>254</v>
      </c>
    </row>
    <row r="10" spans="1:3">
      <c r="A10" s="83" t="s">
        <v>256</v>
      </c>
      <c r="B10" s="90" t="s">
        <v>161</v>
      </c>
      <c r="C10" s="129" t="s">
        <v>257</v>
      </c>
    </row>
    <row r="11" spans="1:3">
      <c r="A11" s="83" t="s">
        <v>244</v>
      </c>
      <c r="B11" s="90" t="s">
        <v>161</v>
      </c>
      <c r="C11" s="129" t="s">
        <v>271</v>
      </c>
    </row>
    <row r="12" spans="1:3">
      <c r="A12" s="83" t="s">
        <v>249</v>
      </c>
      <c r="B12" s="90" t="s">
        <v>161</v>
      </c>
      <c r="C12" s="129" t="s">
        <v>250</v>
      </c>
    </row>
    <row r="13" spans="1:3">
      <c r="A13" s="83" t="s">
        <v>251</v>
      </c>
      <c r="B13" s="90" t="s">
        <v>161</v>
      </c>
      <c r="C13" s="129" t="s">
        <v>253</v>
      </c>
    </row>
    <row r="14" spans="1:3">
      <c r="A14" s="83" t="s">
        <v>568</v>
      </c>
      <c r="B14" s="90" t="s">
        <v>161</v>
      </c>
      <c r="C14" s="129" t="s">
        <v>144</v>
      </c>
    </row>
    <row r="15" spans="1:3">
      <c r="A15" s="83" t="s">
        <v>287</v>
      </c>
      <c r="B15" s="84" t="s">
        <v>366</v>
      </c>
      <c r="C15" s="129" t="s">
        <v>270</v>
      </c>
    </row>
    <row r="16" spans="1:3" ht="26.4">
      <c r="A16" s="83" t="s">
        <v>288</v>
      </c>
      <c r="B16" s="84" t="s">
        <v>289</v>
      </c>
      <c r="C16" s="129" t="s">
        <v>257</v>
      </c>
    </row>
    <row r="17" spans="1:3">
      <c r="A17" s="83" t="s">
        <v>343</v>
      </c>
      <c r="B17" s="84" t="s">
        <v>344</v>
      </c>
      <c r="C17" s="129" t="s">
        <v>345</v>
      </c>
    </row>
    <row r="18" spans="1:3">
      <c r="A18" s="81" t="s">
        <v>231</v>
      </c>
      <c r="B18" s="82" t="s">
        <v>232</v>
      </c>
      <c r="C18" s="129" t="s">
        <v>145</v>
      </c>
    </row>
    <row r="19" spans="1:3" ht="26.4">
      <c r="A19" s="79" t="s">
        <v>566</v>
      </c>
      <c r="B19" s="80" t="s">
        <v>230</v>
      </c>
      <c r="C19" s="129"/>
    </row>
    <row r="20" spans="1:3">
      <c r="A20" s="81" t="s">
        <v>567</v>
      </c>
      <c r="B20" s="82" t="s">
        <v>187</v>
      </c>
      <c r="C20" s="129"/>
    </row>
    <row r="21" spans="1:3" ht="19.5" customHeight="1">
      <c r="A21" s="83" t="s">
        <v>565</v>
      </c>
      <c r="B21" s="84" t="s">
        <v>188</v>
      </c>
      <c r="C21" s="129" t="s">
        <v>146</v>
      </c>
    </row>
    <row r="22" spans="1:3" ht="26.4">
      <c r="A22" s="83" t="s">
        <v>581</v>
      </c>
      <c r="B22" s="84" t="s">
        <v>189</v>
      </c>
      <c r="C22" s="129" t="s">
        <v>146</v>
      </c>
    </row>
    <row r="23" spans="1:3" ht="18" customHeight="1">
      <c r="A23" s="83" t="s">
        <v>582</v>
      </c>
      <c r="B23" s="84" t="s">
        <v>192</v>
      </c>
      <c r="C23" s="129" t="s">
        <v>146</v>
      </c>
    </row>
    <row r="24" spans="1:3">
      <c r="A24" s="81" t="s">
        <v>292</v>
      </c>
      <c r="B24" s="82" t="s">
        <v>233</v>
      </c>
    </row>
    <row r="25" spans="1:3">
      <c r="A25" s="83" t="s">
        <v>293</v>
      </c>
      <c r="B25" s="84" t="s">
        <v>190</v>
      </c>
      <c r="C25" s="129" t="s">
        <v>146</v>
      </c>
    </row>
    <row r="26" spans="1:3">
      <c r="A26" s="83" t="s">
        <v>294</v>
      </c>
      <c r="B26" s="84" t="s">
        <v>49</v>
      </c>
      <c r="C26" s="129" t="s">
        <v>146</v>
      </c>
    </row>
    <row r="27" spans="1:3">
      <c r="A27" s="83" t="s">
        <v>295</v>
      </c>
      <c r="B27" s="84" t="s">
        <v>50</v>
      </c>
      <c r="C27" s="129" t="s">
        <v>146</v>
      </c>
    </row>
    <row r="28" spans="1:3" ht="26.4">
      <c r="A28" s="83" t="s">
        <v>296</v>
      </c>
      <c r="B28" s="84" t="s">
        <v>115</v>
      </c>
      <c r="C28" s="129" t="s">
        <v>146</v>
      </c>
    </row>
    <row r="29" spans="1:3" ht="26.4">
      <c r="A29" s="81" t="s">
        <v>116</v>
      </c>
      <c r="B29" s="82" t="s">
        <v>234</v>
      </c>
    </row>
    <row r="30" spans="1:3">
      <c r="A30" s="83" t="s">
        <v>117</v>
      </c>
      <c r="B30" s="84" t="s">
        <v>191</v>
      </c>
      <c r="C30" s="129" t="s">
        <v>146</v>
      </c>
    </row>
    <row r="31" spans="1:3" ht="26.4">
      <c r="A31" s="83" t="s">
        <v>118</v>
      </c>
      <c r="B31" s="84" t="s">
        <v>193</v>
      </c>
      <c r="C31" s="129" t="s">
        <v>146</v>
      </c>
    </row>
    <row r="32" spans="1:3">
      <c r="A32" s="83" t="s">
        <v>297</v>
      </c>
      <c r="B32" s="84" t="s">
        <v>194</v>
      </c>
      <c r="C32" s="129" t="s">
        <v>146</v>
      </c>
    </row>
    <row r="33" spans="1:3" ht="26.4">
      <c r="A33" s="83" t="s">
        <v>298</v>
      </c>
      <c r="B33" s="84" t="s">
        <v>119</v>
      </c>
      <c r="C33" s="129" t="s">
        <v>146</v>
      </c>
    </row>
    <row r="34" spans="1:3" ht="39.6">
      <c r="A34" s="81" t="s">
        <v>162</v>
      </c>
      <c r="B34" s="82" t="s">
        <v>195</v>
      </c>
    </row>
    <row r="35" spans="1:3">
      <c r="A35" s="83" t="s">
        <v>163</v>
      </c>
      <c r="B35" s="84" t="s">
        <v>196</v>
      </c>
      <c r="C35" s="129" t="s">
        <v>146</v>
      </c>
    </row>
    <row r="36" spans="1:3">
      <c r="A36" s="119" t="s">
        <v>277</v>
      </c>
      <c r="B36" s="120" t="s">
        <v>51</v>
      </c>
    </row>
    <row r="37" spans="1:3">
      <c r="A37" s="121" t="s">
        <v>278</v>
      </c>
      <c r="B37" s="122" t="s">
        <v>198</v>
      </c>
      <c r="C37" s="129" t="s">
        <v>219</v>
      </c>
    </row>
    <row r="38" spans="1:3">
      <c r="A38" s="121" t="s">
        <v>279</v>
      </c>
      <c r="B38" s="123" t="s">
        <v>197</v>
      </c>
      <c r="C38" s="129" t="s">
        <v>146</v>
      </c>
    </row>
    <row r="39" spans="1:3">
      <c r="A39" s="83"/>
      <c r="B39" s="123" t="s">
        <v>52</v>
      </c>
      <c r="C39" s="129" t="s">
        <v>144</v>
      </c>
    </row>
    <row r="40" spans="1:3">
      <c r="A40" s="79" t="s">
        <v>104</v>
      </c>
      <c r="B40" s="80" t="s">
        <v>120</v>
      </c>
      <c r="C40" s="129"/>
    </row>
    <row r="41" spans="1:3">
      <c r="A41" s="81" t="s">
        <v>199</v>
      </c>
      <c r="B41" s="82" t="s">
        <v>229</v>
      </c>
      <c r="C41" s="129"/>
    </row>
    <row r="42" spans="1:3">
      <c r="A42" s="83" t="s">
        <v>200</v>
      </c>
      <c r="B42" s="84" t="s">
        <v>111</v>
      </c>
      <c r="C42" s="129" t="s">
        <v>146</v>
      </c>
    </row>
    <row r="43" spans="1:3" ht="26.4">
      <c r="A43" s="81" t="s">
        <v>165</v>
      </c>
      <c r="B43" s="82" t="s">
        <v>201</v>
      </c>
      <c r="C43" s="129"/>
    </row>
    <row r="44" spans="1:3">
      <c r="A44" s="83" t="s">
        <v>166</v>
      </c>
      <c r="B44" s="84" t="s">
        <v>202</v>
      </c>
      <c r="C44" s="129" t="s">
        <v>272</v>
      </c>
    </row>
    <row r="45" spans="1:3" ht="26.4">
      <c r="A45" s="83" t="s">
        <v>203</v>
      </c>
      <c r="B45" s="84" t="s">
        <v>204</v>
      </c>
      <c r="C45" s="129" t="s">
        <v>272</v>
      </c>
    </row>
    <row r="46" spans="1:3" ht="26.4">
      <c r="A46" s="83" t="s">
        <v>259</v>
      </c>
      <c r="B46" s="84" t="s">
        <v>260</v>
      </c>
      <c r="C46" s="129" t="s">
        <v>146</v>
      </c>
    </row>
    <row r="47" spans="1:3">
      <c r="A47" s="85" t="s">
        <v>167</v>
      </c>
      <c r="B47" s="82" t="s">
        <v>164</v>
      </c>
      <c r="C47" s="129"/>
    </row>
    <row r="48" spans="1:3">
      <c r="A48" s="86" t="s">
        <v>168</v>
      </c>
      <c r="B48" s="84" t="s">
        <v>285</v>
      </c>
      <c r="C48" s="129" t="s">
        <v>272</v>
      </c>
    </row>
    <row r="49" spans="1:14">
      <c r="A49" s="79" t="s">
        <v>121</v>
      </c>
      <c r="B49" s="80" t="s">
        <v>122</v>
      </c>
      <c r="C49" s="129"/>
    </row>
    <row r="50" spans="1:14">
      <c r="A50" s="81" t="s">
        <v>123</v>
      </c>
      <c r="B50" s="82" t="s">
        <v>124</v>
      </c>
      <c r="C50" s="129"/>
    </row>
    <row r="51" spans="1:14">
      <c r="A51" s="83" t="s">
        <v>300</v>
      </c>
      <c r="B51" s="84" t="s">
        <v>205</v>
      </c>
      <c r="C51" s="129" t="s">
        <v>273</v>
      </c>
    </row>
    <row r="52" spans="1:14" ht="26.4">
      <c r="A52" s="83" t="s">
        <v>206</v>
      </c>
      <c r="B52" s="84" t="s">
        <v>178</v>
      </c>
      <c r="C52" s="129" t="s">
        <v>273</v>
      </c>
    </row>
    <row r="53" spans="1:14" ht="26.4">
      <c r="A53" s="81" t="s">
        <v>125</v>
      </c>
      <c r="B53" s="82" t="s">
        <v>299</v>
      </c>
      <c r="C53" s="129"/>
    </row>
    <row r="54" spans="1:14">
      <c r="A54" s="83" t="s">
        <v>126</v>
      </c>
      <c r="B54" s="84" t="s">
        <v>207</v>
      </c>
      <c r="C54" s="129" t="s">
        <v>146</v>
      </c>
    </row>
    <row r="55" spans="1:14" ht="21.75" customHeight="1">
      <c r="A55" s="81" t="s">
        <v>127</v>
      </c>
      <c r="B55" s="82" t="s">
        <v>301</v>
      </c>
      <c r="C55" s="129"/>
    </row>
    <row r="56" spans="1:14" ht="19.5" customHeight="1">
      <c r="A56" s="83" t="s">
        <v>306</v>
      </c>
      <c r="B56" s="84" t="s">
        <v>311</v>
      </c>
      <c r="C56" s="129" t="s">
        <v>272</v>
      </c>
    </row>
    <row r="57" spans="1:14" ht="19.5" customHeight="1">
      <c r="A57" s="83" t="s">
        <v>307</v>
      </c>
      <c r="B57" s="84" t="s">
        <v>208</v>
      </c>
      <c r="C57" s="129" t="s">
        <v>272</v>
      </c>
    </row>
    <row r="58" spans="1:14" ht="21.75" customHeight="1">
      <c r="A58" s="81" t="s">
        <v>302</v>
      </c>
      <c r="B58" s="82" t="s">
        <v>303</v>
      </c>
      <c r="C58" s="129"/>
    </row>
    <row r="59" spans="1:14" ht="22.5" customHeight="1">
      <c r="A59" s="83" t="s">
        <v>308</v>
      </c>
      <c r="B59" s="84" t="s">
        <v>209</v>
      </c>
      <c r="C59" s="129" t="s">
        <v>272</v>
      </c>
    </row>
    <row r="60" spans="1:14">
      <c r="A60" s="81" t="s">
        <v>304</v>
      </c>
      <c r="B60" s="82" t="s">
        <v>305</v>
      </c>
      <c r="C60" s="129"/>
      <c r="N60">
        <v>25262491.465999998</v>
      </c>
    </row>
    <row r="61" spans="1:14" ht="21" customHeight="1">
      <c r="A61" s="83" t="s">
        <v>312</v>
      </c>
      <c r="B61" s="84" t="s">
        <v>313</v>
      </c>
      <c r="C61" s="129" t="s">
        <v>146</v>
      </c>
    </row>
    <row r="62" spans="1:14" ht="21" customHeight="1">
      <c r="A62" s="83" t="s">
        <v>309</v>
      </c>
      <c r="B62" s="84" t="s">
        <v>261</v>
      </c>
      <c r="C62" s="129" t="s">
        <v>219</v>
      </c>
    </row>
    <row r="63" spans="1:14" ht="21" customHeight="1">
      <c r="A63" s="83" t="s">
        <v>310</v>
      </c>
      <c r="B63" s="84" t="s">
        <v>183</v>
      </c>
      <c r="C63" s="129" t="s">
        <v>272</v>
      </c>
    </row>
    <row r="64" spans="1:14">
      <c r="A64" s="81" t="s">
        <v>330</v>
      </c>
      <c r="B64" s="82" t="s">
        <v>210</v>
      </c>
      <c r="C64" s="129"/>
    </row>
    <row r="65" spans="1:3" ht="16.5" customHeight="1">
      <c r="A65" s="83" t="s">
        <v>331</v>
      </c>
      <c r="B65" s="84" t="s">
        <v>211</v>
      </c>
      <c r="C65" s="129" t="s">
        <v>273</v>
      </c>
    </row>
    <row r="66" spans="1:3" ht="16.5" customHeight="1">
      <c r="A66" s="83" t="s">
        <v>329</v>
      </c>
      <c r="B66" s="84" t="s">
        <v>179</v>
      </c>
      <c r="C66" s="129" t="s">
        <v>273</v>
      </c>
    </row>
    <row r="67" spans="1:3" ht="16.5" customHeight="1">
      <c r="A67" s="83" t="s">
        <v>332</v>
      </c>
      <c r="B67" s="84" t="s">
        <v>212</v>
      </c>
      <c r="C67" s="129" t="s">
        <v>273</v>
      </c>
    </row>
    <row r="68" spans="1:3" ht="30" customHeight="1">
      <c r="A68" s="214" t="s">
        <v>128</v>
      </c>
      <c r="B68" s="215" t="s">
        <v>129</v>
      </c>
      <c r="C68" s="129"/>
    </row>
    <row r="69" spans="1:3">
      <c r="A69" s="81" t="s">
        <v>130</v>
      </c>
      <c r="B69" s="82" t="s">
        <v>131</v>
      </c>
      <c r="C69" s="129"/>
    </row>
    <row r="70" spans="1:3" ht="26.4">
      <c r="A70" s="83" t="s">
        <v>132</v>
      </c>
      <c r="B70" s="84" t="s">
        <v>286</v>
      </c>
      <c r="C70" s="129" t="s">
        <v>147</v>
      </c>
    </row>
    <row r="71" spans="1:3" ht="26.4">
      <c r="A71" s="83" t="s">
        <v>133</v>
      </c>
      <c r="B71" s="84" t="s">
        <v>228</v>
      </c>
      <c r="C71" s="129" t="s">
        <v>147</v>
      </c>
    </row>
    <row r="72" spans="1:3" ht="26.4">
      <c r="A72" s="83" t="s">
        <v>134</v>
      </c>
      <c r="B72" s="84" t="s">
        <v>135</v>
      </c>
      <c r="C72" s="129" t="s">
        <v>147</v>
      </c>
    </row>
    <row r="73" spans="1:3" ht="26.4">
      <c r="A73" s="83" t="s">
        <v>136</v>
      </c>
      <c r="B73" s="84" t="s">
        <v>213</v>
      </c>
      <c r="C73" s="129" t="s">
        <v>147</v>
      </c>
    </row>
    <row r="74" spans="1:3" ht="26.4">
      <c r="A74" s="83" t="s">
        <v>137</v>
      </c>
      <c r="B74" s="84" t="s">
        <v>180</v>
      </c>
      <c r="C74" s="129" t="s">
        <v>147</v>
      </c>
    </row>
    <row r="75" spans="1:3" ht="26.4">
      <c r="A75" s="83" t="s">
        <v>138</v>
      </c>
      <c r="B75" s="84" t="s">
        <v>214</v>
      </c>
      <c r="C75" s="129" t="s">
        <v>147</v>
      </c>
    </row>
    <row r="76" spans="1:3" ht="26.4">
      <c r="A76" s="146" t="s">
        <v>139</v>
      </c>
      <c r="B76" s="147" t="s">
        <v>215</v>
      </c>
      <c r="C76" s="129" t="s">
        <v>147</v>
      </c>
    </row>
    <row r="77" spans="1:3" ht="26.4">
      <c r="A77" s="83" t="s">
        <v>328</v>
      </c>
      <c r="B77" s="84" t="s">
        <v>291</v>
      </c>
      <c r="C77" s="129"/>
    </row>
    <row r="78" spans="1:3">
      <c r="A78" s="83" t="s">
        <v>323</v>
      </c>
      <c r="B78" s="84" t="s">
        <v>322</v>
      </c>
      <c r="C78" s="129" t="s">
        <v>147</v>
      </c>
    </row>
    <row r="79" spans="1:3" ht="21.75" customHeight="1">
      <c r="A79" s="81" t="s">
        <v>140</v>
      </c>
      <c r="B79" s="82" t="s">
        <v>141</v>
      </c>
      <c r="C79" s="129"/>
    </row>
    <row r="80" spans="1:3">
      <c r="A80" s="83" t="s">
        <v>142</v>
      </c>
      <c r="B80" s="84" t="s">
        <v>217</v>
      </c>
      <c r="C80" s="129" t="s">
        <v>246</v>
      </c>
    </row>
    <row r="81" spans="1:3" ht="26.4">
      <c r="A81" s="83" t="s">
        <v>143</v>
      </c>
      <c r="B81" s="84" t="s">
        <v>218</v>
      </c>
      <c r="C81" s="129" t="s">
        <v>246</v>
      </c>
    </row>
    <row r="82" spans="1:3" ht="26.4">
      <c r="A82" s="83" t="s">
        <v>290</v>
      </c>
      <c r="B82" s="84" t="s">
        <v>291</v>
      </c>
      <c r="C82" s="129" t="s">
        <v>246</v>
      </c>
    </row>
    <row r="83" spans="1:3" ht="26.4">
      <c r="A83" s="83" t="s">
        <v>333</v>
      </c>
      <c r="B83" s="84" t="s">
        <v>334</v>
      </c>
      <c r="C83" s="129" t="s">
        <v>246</v>
      </c>
    </row>
    <row r="84" spans="1:3" ht="23.25" customHeight="1">
      <c r="A84" s="81" t="s">
        <v>221</v>
      </c>
      <c r="B84" s="82" t="s">
        <v>225</v>
      </c>
      <c r="C84" s="129"/>
    </row>
    <row r="85" spans="1:3" ht="27" customHeight="1">
      <c r="A85" s="83" t="s">
        <v>222</v>
      </c>
      <c r="B85" s="84" t="s">
        <v>216</v>
      </c>
      <c r="C85" s="129" t="s">
        <v>274</v>
      </c>
    </row>
    <row r="86" spans="1:3" ht="27" customHeight="1">
      <c r="A86" s="83" t="s">
        <v>223</v>
      </c>
      <c r="B86" s="84" t="s">
        <v>226</v>
      </c>
      <c r="C86" s="129" t="s">
        <v>274</v>
      </c>
    </row>
    <row r="87" spans="1:3" ht="27" customHeight="1">
      <c r="A87" s="83" t="s">
        <v>224</v>
      </c>
      <c r="B87" s="84" t="s">
        <v>227</v>
      </c>
      <c r="C87" s="129" t="s">
        <v>274</v>
      </c>
    </row>
    <row r="88" spans="1:3" ht="24.75" customHeight="1">
      <c r="A88" s="212" t="s">
        <v>276</v>
      </c>
      <c r="B88" s="213" t="s">
        <v>579</v>
      </c>
      <c r="C88" s="129"/>
    </row>
    <row r="89" spans="1:3" ht="20.25" customHeight="1">
      <c r="A89" s="83" t="s">
        <v>278</v>
      </c>
      <c r="B89" s="84" t="s">
        <v>576</v>
      </c>
      <c r="C89" s="129" t="s">
        <v>580</v>
      </c>
    </row>
    <row r="90" spans="1:3" ht="20.25" customHeight="1">
      <c r="A90" s="83" t="s">
        <v>279</v>
      </c>
      <c r="B90" s="84" t="s">
        <v>197</v>
      </c>
      <c r="C90" s="129" t="s">
        <v>572</v>
      </c>
    </row>
    <row r="91" spans="1:3" ht="20.25" customHeight="1">
      <c r="A91" s="83" t="s">
        <v>280</v>
      </c>
      <c r="B91" s="84" t="s">
        <v>281</v>
      </c>
      <c r="C91" s="129" t="s">
        <v>577</v>
      </c>
    </row>
    <row r="92" spans="1:3" ht="20.25" customHeight="1">
      <c r="A92" s="83" t="s">
        <v>574</v>
      </c>
      <c r="B92" s="84" t="s">
        <v>282</v>
      </c>
      <c r="C92" s="129" t="s">
        <v>577</v>
      </c>
    </row>
    <row r="93" spans="1:3" ht="29.25" customHeight="1">
      <c r="A93" s="83" t="s">
        <v>575</v>
      </c>
      <c r="B93" s="84" t="s">
        <v>324</v>
      </c>
      <c r="C93" s="129" t="s">
        <v>577</v>
      </c>
    </row>
    <row r="94" spans="1:3" ht="21" customHeight="1">
      <c r="A94" s="212" t="s">
        <v>573</v>
      </c>
      <c r="B94" s="213" t="s">
        <v>578</v>
      </c>
    </row>
    <row r="95" spans="1:3" ht="20.25" customHeight="1">
      <c r="A95" s="83" t="s">
        <v>364</v>
      </c>
      <c r="B95" s="84" t="s">
        <v>283</v>
      </c>
      <c r="C95" s="129" t="s">
        <v>571</v>
      </c>
    </row>
    <row r="96" spans="1:3" ht="20.25" customHeight="1">
      <c r="A96" s="83" t="s">
        <v>569</v>
      </c>
      <c r="B96" s="84" t="s">
        <v>570</v>
      </c>
      <c r="C96" s="129" t="s">
        <v>572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გეგმა 2020</vt:lpstr>
      <vt:lpstr>list</vt:lpstr>
      <vt:lpstr>budget</vt:lpstr>
      <vt:lpstr>'გეგმა 2020'!Заголовки_для_печати</vt:lpstr>
      <vt:lpstr>'გეგმა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2021-01-18T13:01:48Z</dcterms:modified>
</cp:coreProperties>
</file>