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7A98F08D-6665-4275-8194-28ECD0DDEA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გეგმა 2021" sheetId="4" r:id="rId1"/>
    <sheet name="list" sheetId="7" r:id="rId2"/>
    <sheet name="budget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'გეგმა 2021'!$A$7:$AB$182</definedName>
    <definedName name="aaaaaaa">#REF!</definedName>
    <definedName name="aq">[1]НДС!$X$4:$AA$4</definedName>
    <definedName name="as">#REF!</definedName>
    <definedName name="bbbbb">[2]реестри!$F$62</definedName>
    <definedName name="cek">#REF!</definedName>
    <definedName name="charbi">#REF!</definedName>
    <definedName name="cul">#REF!</definedName>
    <definedName name="dfgdfh">#REF!</definedName>
    <definedName name="dfgfd">#REF!</definedName>
    <definedName name="dfghfgh">#REF!</definedName>
    <definedName name="dfgsdf">#REF!</definedName>
    <definedName name="djaami">#REF!</definedName>
    <definedName name="djam">#REF!</definedName>
    <definedName name="djanmrte">#REF!</definedName>
    <definedName name="djjjami">#REF!</definedName>
    <definedName name="ert">#REF!</definedName>
    <definedName name="fgh">#REF!</definedName>
    <definedName name="fhjjjh">#REF!</definedName>
    <definedName name="finansta">#REF!</definedName>
    <definedName name="forma">[3]ФОРМА!#REF!</definedName>
    <definedName name="gard">#REF!</definedName>
    <definedName name="Garemo">#REF!</definedName>
    <definedName name="Infrastruqtura">#REF!</definedName>
    <definedName name="iu">#REF!</definedName>
    <definedName name="JAMI">#REF!</definedName>
    <definedName name="Jand_program">#REF!</definedName>
    <definedName name="jandacva">#REF!</definedName>
    <definedName name="jlhkj">#REF!</definedName>
    <definedName name="kapit">#REF!</definedName>
    <definedName name="kapm">#REF!</definedName>
    <definedName name="khgj">#REF!</definedName>
    <definedName name="kultura">#REF!</definedName>
    <definedName name="l">#REF!</definedName>
    <definedName name="Mtavroba">#REF!</definedName>
    <definedName name="MVD">#REF!</definedName>
    <definedName name="nm">#REF!</definedName>
    <definedName name="Organisation">#REF!</definedName>
    <definedName name="po">#REF!</definedName>
    <definedName name="pp">#REF!</definedName>
    <definedName name="Print">#REF!</definedName>
    <definedName name="razmi">#REF!</definedName>
    <definedName name="rftjh">#REF!</definedName>
    <definedName name="rty">#REF!</definedName>
    <definedName name="rtyrtujh">#REF!</definedName>
    <definedName name="sabinao">#REF!</definedName>
    <definedName name="Sofeli">#REF!</definedName>
    <definedName name="sul">#REF!</definedName>
    <definedName name="svadasxva">#REF!</definedName>
    <definedName name="tele">#REF!</definedName>
    <definedName name="Transferti">#REF!</definedName>
    <definedName name="tyyu">#REF!</definedName>
    <definedName name="uShiSh">#REF!</definedName>
    <definedName name="xfgu">#REF!</definedName>
    <definedName name="гардамавали">#REF!</definedName>
    <definedName name="дата">#REF!</definedName>
    <definedName name="дж">#REF!</definedName>
    <definedName name="джами">#REF!</definedName>
    <definedName name="джамртелоба">#REF!</definedName>
    <definedName name="_xlnm.Print_Titles" localSheetId="0">'გეგმა 2021'!$6:$6</definedName>
    <definedName name="итоги">[1]НДС!$H$2</definedName>
    <definedName name="капиталури">#REF!</definedName>
    <definedName name="КАПМШ">#REF!</definedName>
    <definedName name="КОДИ">#REF!</definedName>
    <definedName name="култура">#REF!</definedName>
    <definedName name="м">#REF!</definedName>
    <definedName name="_xlnm.Print_Area" localSheetId="0">'გეგმა 2021'!$A$1:$H$183</definedName>
    <definedName name="РАЗМИ">#REF!</definedName>
    <definedName name="с3">[1]НДС!$D$3</definedName>
    <definedName name="сабинао">#REF!</definedName>
    <definedName name="сссс">#REF!</definedName>
    <definedName name="сул">#REF!</definedName>
    <definedName name="ТЕЛЕ">#REF!</definedName>
    <definedName name="трансф">#REF!</definedName>
    <definedName name="УШИШ">#REF!</definedName>
    <definedName name="ф">#REF!</definedName>
    <definedName name="фв2">[1]НДС!$C$2</definedName>
    <definedName name="Форма">[4]ФОРМА!#REF!</definedName>
    <definedName name="ЧАРБ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Y140" i="4"/>
  <c r="Q140" i="4"/>
  <c r="N140" i="4"/>
  <c r="H140" i="4"/>
  <c r="Y95" i="4" l="1"/>
  <c r="Q95" i="4"/>
  <c r="N95" i="4"/>
  <c r="H95" i="4"/>
  <c r="Y71" i="4" l="1"/>
  <c r="T71" i="4"/>
  <c r="Q71" i="4"/>
  <c r="N71" i="4"/>
  <c r="Y47" i="4" l="1"/>
  <c r="T47" i="4"/>
  <c r="Q47" i="4"/>
  <c r="N47" i="4"/>
  <c r="T106" i="4"/>
  <c r="Q106" i="4"/>
  <c r="N106" i="4"/>
  <c r="E106" i="4"/>
  <c r="Y106" i="4" s="1"/>
  <c r="V77" i="4"/>
  <c r="V20" i="4"/>
  <c r="T167" i="4"/>
  <c r="T55" i="4"/>
  <c r="V40" i="4"/>
  <c r="T40" i="4" s="1"/>
  <c r="T164" i="4"/>
  <c r="V80" i="4"/>
  <c r="T80" i="4" s="1"/>
  <c r="V21" i="4"/>
  <c r="T21" i="4" s="1"/>
  <c r="T52" i="4"/>
  <c r="V10" i="4"/>
  <c r="T10" i="4" s="1"/>
  <c r="T34" i="4"/>
  <c r="T33" i="4"/>
  <c r="T37" i="4" l="1"/>
  <c r="V81" i="4"/>
  <c r="T156" i="4"/>
  <c r="V74" i="4"/>
  <c r="Q96" i="4" l="1"/>
  <c r="N96" i="4"/>
  <c r="E118" i="4" l="1"/>
  <c r="Q65" i="4"/>
  <c r="N65" i="4"/>
  <c r="Q160" i="4"/>
  <c r="N160" i="4"/>
  <c r="Y160" i="4"/>
  <c r="E88" i="4"/>
  <c r="E34" i="4"/>
  <c r="E37" i="4"/>
  <c r="E39" i="4"/>
  <c r="E152" i="4"/>
  <c r="E86" i="4"/>
  <c r="E25" i="4"/>
  <c r="E63" i="4"/>
  <c r="E183" i="4"/>
  <c r="E42" i="4"/>
  <c r="E38" i="4"/>
  <c r="E36" i="4"/>
  <c r="E117" i="4"/>
  <c r="E109" i="4"/>
  <c r="E174" i="4"/>
  <c r="E133" i="4"/>
  <c r="E180" i="4"/>
  <c r="E125" i="4"/>
  <c r="E132" i="4"/>
  <c r="E114" i="4" l="1"/>
  <c r="E116" i="4"/>
  <c r="Q89" i="4" l="1"/>
  <c r="N89" i="4"/>
  <c r="H89" i="4"/>
  <c r="Q88" i="4"/>
  <c r="N88" i="4"/>
  <c r="Y70" i="4" l="1"/>
  <c r="T70" i="4"/>
  <c r="Q70" i="4"/>
  <c r="N70" i="4"/>
  <c r="Y139" i="4" l="1"/>
  <c r="Q139" i="4"/>
  <c r="N139" i="4"/>
  <c r="H139" i="4"/>
  <c r="Y166" i="4" l="1"/>
  <c r="T166" i="4"/>
  <c r="Q166" i="4"/>
  <c r="N166" i="4"/>
  <c r="Y31" i="4"/>
  <c r="T31" i="4"/>
  <c r="Q31" i="4"/>
  <c r="N31" i="4"/>
  <c r="H31" i="4"/>
  <c r="Y26" i="4"/>
  <c r="T26" i="4"/>
  <c r="Q26" i="4"/>
  <c r="N26" i="4"/>
  <c r="H26" i="4"/>
  <c r="Y8" i="4"/>
  <c r="T8" i="4"/>
  <c r="Q8" i="4"/>
  <c r="N8" i="4"/>
  <c r="H8" i="4"/>
  <c r="Y113" i="4"/>
  <c r="T113" i="4"/>
  <c r="Q113" i="4"/>
  <c r="N113" i="4"/>
  <c r="H113" i="4"/>
  <c r="Y115" i="4"/>
  <c r="T115" i="4"/>
  <c r="Q115" i="4"/>
  <c r="N115" i="4"/>
  <c r="H115" i="4"/>
  <c r="Y120" i="4"/>
  <c r="Q120" i="4"/>
  <c r="N120" i="4"/>
  <c r="H120" i="4"/>
  <c r="Y119" i="4" l="1"/>
  <c r="T119" i="4"/>
  <c r="Q119" i="4"/>
  <c r="N119" i="4"/>
  <c r="H119" i="4"/>
  <c r="T147" i="4" l="1"/>
  <c r="Y59" i="4"/>
  <c r="Y137" i="4"/>
  <c r="Y138" i="4"/>
  <c r="Y141" i="4"/>
  <c r="Y142" i="4"/>
  <c r="Y143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1" i="4"/>
  <c r="Y162" i="4"/>
  <c r="Y163" i="4"/>
  <c r="Y164" i="4"/>
  <c r="Y165" i="4"/>
  <c r="Y167" i="4"/>
  <c r="Y168" i="4"/>
  <c r="Y169" i="4"/>
  <c r="Y170" i="4"/>
  <c r="Y171" i="4"/>
  <c r="Y172" i="4"/>
  <c r="Y173" i="4"/>
  <c r="Y174" i="4"/>
  <c r="Y175" i="4"/>
  <c r="Y176" i="4"/>
  <c r="Y177" i="4"/>
  <c r="Y179" i="4"/>
  <c r="Y180" i="4"/>
  <c r="Y181" i="4"/>
  <c r="Y182" i="4"/>
  <c r="Y183" i="4"/>
  <c r="Y126" i="4"/>
  <c r="Y127" i="4"/>
  <c r="Y128" i="4"/>
  <c r="Y129" i="4"/>
  <c r="Y130" i="4"/>
  <c r="Y131" i="4"/>
  <c r="Y132" i="4"/>
  <c r="Y133" i="4"/>
  <c r="Y134" i="4"/>
  <c r="Y135" i="4"/>
  <c r="Y136" i="4"/>
  <c r="Y110" i="4"/>
  <c r="Y111" i="4"/>
  <c r="Y112" i="4"/>
  <c r="Y114" i="4"/>
  <c r="Y116" i="4"/>
  <c r="Y117" i="4"/>
  <c r="Y118" i="4"/>
  <c r="Y121" i="4"/>
  <c r="Y122" i="4"/>
  <c r="Y123" i="4"/>
  <c r="Y124" i="4"/>
  <c r="Y125" i="4"/>
  <c r="Y90" i="4"/>
  <c r="Y91" i="4"/>
  <c r="Y92" i="4"/>
  <c r="Y93" i="4"/>
  <c r="Y94" i="4"/>
  <c r="Y97" i="4"/>
  <c r="Y98" i="4"/>
  <c r="Y99" i="4"/>
  <c r="Y100" i="4"/>
  <c r="Y101" i="4"/>
  <c r="Y102" i="4"/>
  <c r="Y103" i="4"/>
  <c r="Y104" i="4"/>
  <c r="Y105" i="4"/>
  <c r="Y107" i="4"/>
  <c r="Y108" i="4"/>
  <c r="Y109" i="4"/>
  <c r="Y77" i="4"/>
  <c r="Y78" i="4"/>
  <c r="Y79" i="4"/>
  <c r="Y80" i="4"/>
  <c r="Y81" i="4"/>
  <c r="Y82" i="4"/>
  <c r="Y83" i="4"/>
  <c r="Y84" i="4"/>
  <c r="Y85" i="4"/>
  <c r="Y86" i="4"/>
  <c r="Y87" i="4"/>
  <c r="Y67" i="4"/>
  <c r="Y68" i="4"/>
  <c r="Y69" i="4"/>
  <c r="Y72" i="4"/>
  <c r="Y73" i="4"/>
  <c r="Y74" i="4"/>
  <c r="Y75" i="4"/>
  <c r="Y76" i="4"/>
  <c r="Y43" i="4"/>
  <c r="Y44" i="4"/>
  <c r="Y45" i="4"/>
  <c r="Y46" i="4"/>
  <c r="Y48" i="4"/>
  <c r="Y49" i="4"/>
  <c r="Y17" i="4"/>
  <c r="Y18" i="4"/>
  <c r="Y19" i="4"/>
  <c r="Y20" i="4"/>
  <c r="Y21" i="4"/>
  <c r="Y22" i="4"/>
  <c r="Y23" i="4"/>
  <c r="Y24" i="4"/>
  <c r="Y25" i="4"/>
  <c r="Q126" i="4" l="1"/>
  <c r="N126" i="4"/>
  <c r="H126" i="4"/>
  <c r="Q69" i="4" l="1"/>
  <c r="N69" i="4"/>
  <c r="E149" i="4" l="1"/>
  <c r="Q167" i="4" l="1"/>
  <c r="N167" i="4"/>
  <c r="Q153" i="4"/>
  <c r="N153" i="4"/>
  <c r="H153" i="4"/>
  <c r="T148" i="4"/>
  <c r="Q148" i="4"/>
  <c r="N148" i="4"/>
  <c r="H148" i="4"/>
  <c r="Q27" i="4" l="1"/>
  <c r="Q25" i="4"/>
  <c r="T73" i="4" l="1"/>
  <c r="T125" i="4"/>
  <c r="E145" i="4" l="1"/>
  <c r="Y145" i="4" s="1"/>
  <c r="T12" i="4" l="1"/>
  <c r="T183" i="4" l="1"/>
  <c r="T142" i="4"/>
  <c r="Q72" i="4" l="1"/>
  <c r="N72" i="4"/>
  <c r="H121" i="4"/>
  <c r="T118" i="4"/>
  <c r="Q118" i="4"/>
  <c r="N118" i="4"/>
  <c r="H59" i="4"/>
  <c r="T59" i="4"/>
  <c r="Q59" i="4"/>
  <c r="N59" i="4"/>
  <c r="E58" i="4"/>
  <c r="Q152" i="4"/>
  <c r="N152" i="4"/>
  <c r="Q101" i="4" l="1"/>
  <c r="N101" i="4"/>
  <c r="H101" i="4"/>
  <c r="Q91" i="4" l="1"/>
  <c r="N91" i="4"/>
  <c r="Q68" i="4"/>
  <c r="N68" i="4"/>
  <c r="H45" i="4"/>
  <c r="Q45" i="4"/>
  <c r="N45" i="4"/>
  <c r="Q172" i="4" l="1"/>
  <c r="N172" i="4"/>
  <c r="E144" i="4"/>
  <c r="Y144" i="4" s="1"/>
  <c r="E98" i="4" l="1"/>
  <c r="E178" i="4" l="1"/>
  <c r="Y178" i="4" s="1"/>
  <c r="Q136" i="4" l="1"/>
  <c r="N136" i="4"/>
  <c r="E30" i="4"/>
  <c r="Q30" i="4"/>
  <c r="N30" i="4"/>
  <c r="H30" i="4"/>
  <c r="Y30" i="4" l="1"/>
  <c r="Q117" i="4"/>
  <c r="N117" i="4"/>
  <c r="H149" i="4" l="1"/>
  <c r="I185" i="4" l="1"/>
  <c r="E188" i="4" l="1"/>
  <c r="E195" i="4" l="1"/>
  <c r="E198" i="4" s="1"/>
  <c r="E193" i="4"/>
  <c r="Q183" i="4" l="1"/>
  <c r="N183" i="4"/>
  <c r="T182" i="4"/>
  <c r="Q182" i="4"/>
  <c r="N182" i="4"/>
  <c r="T181" i="4"/>
  <c r="Q181" i="4"/>
  <c r="N181" i="4"/>
  <c r="H181" i="4"/>
  <c r="T180" i="4"/>
  <c r="Q180" i="4"/>
  <c r="N180" i="4"/>
  <c r="T179" i="4"/>
  <c r="Q179" i="4"/>
  <c r="N179" i="4"/>
  <c r="T178" i="4"/>
  <c r="Q178" i="4"/>
  <c r="N178" i="4"/>
  <c r="T177" i="4"/>
  <c r="Q177" i="4"/>
  <c r="N177" i="4"/>
  <c r="T176" i="4"/>
  <c r="Q176" i="4"/>
  <c r="N176" i="4"/>
  <c r="T175" i="4"/>
  <c r="Q175" i="4"/>
  <c r="N175" i="4"/>
  <c r="T174" i="4"/>
  <c r="Q174" i="4"/>
  <c r="N174" i="4"/>
  <c r="T173" i="4"/>
  <c r="Q173" i="4"/>
  <c r="N173" i="4"/>
  <c r="T171" i="4"/>
  <c r="Q171" i="4"/>
  <c r="N171" i="4"/>
  <c r="T170" i="4"/>
  <c r="Q170" i="4"/>
  <c r="N170" i="4"/>
  <c r="T169" i="4"/>
  <c r="Q169" i="4"/>
  <c r="N169" i="4"/>
  <c r="T168" i="4"/>
  <c r="Q168" i="4"/>
  <c r="N168" i="4"/>
  <c r="T165" i="4"/>
  <c r="Q165" i="4"/>
  <c r="N165" i="4"/>
  <c r="Q164" i="4"/>
  <c r="N164" i="4"/>
  <c r="H164" i="4"/>
  <c r="T163" i="4"/>
  <c r="Q163" i="4"/>
  <c r="N163" i="4"/>
  <c r="H163" i="4"/>
  <c r="T162" i="4"/>
  <c r="Q162" i="4"/>
  <c r="N162" i="4"/>
  <c r="T161" i="4"/>
  <c r="Q161" i="4"/>
  <c r="N161" i="4"/>
  <c r="T159" i="4"/>
  <c r="Q159" i="4"/>
  <c r="N159" i="4"/>
  <c r="T158" i="4"/>
  <c r="Q158" i="4"/>
  <c r="N158" i="4"/>
  <c r="T157" i="4"/>
  <c r="Q157" i="4"/>
  <c r="N157" i="4"/>
  <c r="Q156" i="4"/>
  <c r="N156" i="4"/>
  <c r="H156" i="4"/>
  <c r="T155" i="4"/>
  <c r="Q155" i="4"/>
  <c r="N155" i="4"/>
  <c r="H155" i="4"/>
  <c r="T154" i="4"/>
  <c r="Q154" i="4"/>
  <c r="N154" i="4"/>
  <c r="H154" i="4"/>
  <c r="T151" i="4"/>
  <c r="Q151" i="4"/>
  <c r="N151" i="4"/>
  <c r="H151" i="4"/>
  <c r="T150" i="4"/>
  <c r="Q150" i="4"/>
  <c r="N150" i="4"/>
  <c r="H150" i="4"/>
  <c r="T149" i="4"/>
  <c r="Q149" i="4"/>
  <c r="N149" i="4"/>
  <c r="Q147" i="4"/>
  <c r="N147" i="4"/>
  <c r="Q146" i="4"/>
  <c r="N146" i="4"/>
  <c r="T145" i="4"/>
  <c r="Q145" i="4"/>
  <c r="N145" i="4"/>
  <c r="T144" i="4"/>
  <c r="Q144" i="4"/>
  <c r="N144" i="4"/>
  <c r="T143" i="4"/>
  <c r="Q143" i="4"/>
  <c r="N143" i="4"/>
  <c r="H143" i="4"/>
  <c r="Q142" i="4"/>
  <c r="N142" i="4"/>
  <c r="Q141" i="4"/>
  <c r="N141" i="4"/>
  <c r="H141" i="4"/>
  <c r="H138" i="4"/>
  <c r="T137" i="4"/>
  <c r="Q137" i="4"/>
  <c r="N137" i="4"/>
  <c r="H137" i="4"/>
  <c r="T135" i="4"/>
  <c r="Q135" i="4"/>
  <c r="N135" i="4"/>
  <c r="T134" i="4"/>
  <c r="Q134" i="4"/>
  <c r="N134" i="4"/>
  <c r="T133" i="4"/>
  <c r="Q133" i="4"/>
  <c r="N133" i="4"/>
  <c r="T132" i="4"/>
  <c r="Q132" i="4"/>
  <c r="N132" i="4"/>
  <c r="T131" i="4"/>
  <c r="Q131" i="4"/>
  <c r="N131" i="4"/>
  <c r="T130" i="4"/>
  <c r="Q130" i="4"/>
  <c r="N130" i="4"/>
  <c r="K130" i="4"/>
  <c r="H130" i="4" s="1"/>
  <c r="T129" i="4"/>
  <c r="Q129" i="4"/>
  <c r="N129" i="4"/>
  <c r="K129" i="4"/>
  <c r="H129" i="4" s="1"/>
  <c r="T128" i="4"/>
  <c r="Q128" i="4"/>
  <c r="N128" i="4"/>
  <c r="H128" i="4"/>
  <c r="T127" i="4"/>
  <c r="Q127" i="4"/>
  <c r="N127" i="4"/>
  <c r="H127" i="4"/>
  <c r="N125" i="4"/>
  <c r="T124" i="4"/>
  <c r="Q124" i="4"/>
  <c r="N124" i="4"/>
  <c r="H124" i="4"/>
  <c r="T123" i="4"/>
  <c r="Q123" i="4"/>
  <c r="N123" i="4"/>
  <c r="H123" i="4"/>
  <c r="Q122" i="4"/>
  <c r="N122" i="4"/>
  <c r="H122" i="4"/>
  <c r="Q121" i="4"/>
  <c r="N121" i="4"/>
  <c r="T116" i="4"/>
  <c r="Q116" i="4"/>
  <c r="N116" i="4"/>
  <c r="H116" i="4"/>
  <c r="T114" i="4"/>
  <c r="Q114" i="4"/>
  <c r="N114" i="4"/>
  <c r="H114" i="4"/>
  <c r="T112" i="4"/>
  <c r="Q112" i="4"/>
  <c r="N112" i="4"/>
  <c r="H112" i="4"/>
  <c r="T111" i="4"/>
  <c r="Q111" i="4"/>
  <c r="N111" i="4"/>
  <c r="T110" i="4"/>
  <c r="Q110" i="4"/>
  <c r="N110" i="4"/>
  <c r="T109" i="4"/>
  <c r="Q109" i="4"/>
  <c r="N109" i="4"/>
  <c r="T108" i="4"/>
  <c r="Q108" i="4"/>
  <c r="N108" i="4"/>
  <c r="Q107" i="4"/>
  <c r="N107" i="4"/>
  <c r="T105" i="4"/>
  <c r="Q105" i="4"/>
  <c r="N105" i="4"/>
  <c r="T104" i="4"/>
  <c r="Q104" i="4"/>
  <c r="N104" i="4"/>
  <c r="T103" i="4"/>
  <c r="Q103" i="4"/>
  <c r="N103" i="4"/>
  <c r="T102" i="4"/>
  <c r="Q102" i="4"/>
  <c r="N102" i="4"/>
  <c r="T100" i="4"/>
  <c r="Q100" i="4"/>
  <c r="N100" i="4"/>
  <c r="H100" i="4"/>
  <c r="T99" i="4"/>
  <c r="Q99" i="4"/>
  <c r="N99" i="4"/>
  <c r="H99" i="4"/>
  <c r="T98" i="4"/>
  <c r="Q98" i="4"/>
  <c r="N98" i="4"/>
  <c r="H98" i="4"/>
  <c r="T97" i="4"/>
  <c r="Q97" i="4"/>
  <c r="N97" i="4"/>
  <c r="H97" i="4"/>
  <c r="T94" i="4"/>
  <c r="Q94" i="4"/>
  <c r="N94" i="4"/>
  <c r="H94" i="4"/>
  <c r="T93" i="4"/>
  <c r="Q93" i="4"/>
  <c r="N93" i="4"/>
  <c r="H93" i="4"/>
  <c r="T92" i="4"/>
  <c r="Q92" i="4"/>
  <c r="N92" i="4"/>
  <c r="H92" i="4"/>
  <c r="T90" i="4"/>
  <c r="Q90" i="4"/>
  <c r="N90" i="4"/>
  <c r="T87" i="4"/>
  <c r="Q87" i="4"/>
  <c r="N87" i="4"/>
  <c r="T86" i="4"/>
  <c r="Q86" i="4"/>
  <c r="N86" i="4"/>
  <c r="T85" i="4"/>
  <c r="Q85" i="4"/>
  <c r="N85" i="4"/>
  <c r="T84" i="4"/>
  <c r="Q84" i="4"/>
  <c r="N84" i="4"/>
  <c r="T83" i="4"/>
  <c r="Q83" i="4"/>
  <c r="N83" i="4"/>
  <c r="T82" i="4"/>
  <c r="Q82" i="4"/>
  <c r="N82" i="4"/>
  <c r="H82" i="4"/>
  <c r="Q81" i="4"/>
  <c r="N81" i="4"/>
  <c r="Q80" i="4"/>
  <c r="N80" i="4"/>
  <c r="T79" i="4"/>
  <c r="Q79" i="4"/>
  <c r="N79" i="4"/>
  <c r="H79" i="4"/>
  <c r="Q78" i="4"/>
  <c r="N78" i="4"/>
  <c r="T77" i="4"/>
  <c r="Q77" i="4"/>
  <c r="N77" i="4"/>
  <c r="T76" i="4"/>
  <c r="Q76" i="4"/>
  <c r="N76" i="4"/>
  <c r="T75" i="4"/>
  <c r="Q75" i="4"/>
  <c r="N75" i="4"/>
  <c r="Q74" i="4"/>
  <c r="N74" i="4"/>
  <c r="Q73" i="4"/>
  <c r="N73" i="4"/>
  <c r="T67" i="4"/>
  <c r="Q67" i="4"/>
  <c r="N67" i="4"/>
  <c r="H67" i="4"/>
  <c r="Y66" i="4"/>
  <c r="T66" i="4"/>
  <c r="Q66" i="4"/>
  <c r="N66" i="4"/>
  <c r="H66" i="4"/>
  <c r="Y64" i="4"/>
  <c r="T64" i="4"/>
  <c r="Q64" i="4"/>
  <c r="N64" i="4"/>
  <c r="Y63" i="4"/>
  <c r="T63" i="4"/>
  <c r="Q63" i="4"/>
  <c r="N63" i="4"/>
  <c r="Q62" i="4"/>
  <c r="N62" i="4"/>
  <c r="H62" i="4"/>
  <c r="Y61" i="4"/>
  <c r="T61" i="4"/>
  <c r="Q61" i="4"/>
  <c r="N61" i="4"/>
  <c r="H61" i="4"/>
  <c r="Y60" i="4"/>
  <c r="T60" i="4"/>
  <c r="Q60" i="4"/>
  <c r="N60" i="4"/>
  <c r="Y58" i="4"/>
  <c r="T58" i="4"/>
  <c r="Q58" i="4"/>
  <c r="N58" i="4"/>
  <c r="Y57" i="4"/>
  <c r="T57" i="4"/>
  <c r="Q57" i="4"/>
  <c r="N57" i="4"/>
  <c r="H57" i="4"/>
  <c r="Y56" i="4"/>
  <c r="T56" i="4"/>
  <c r="Q56" i="4"/>
  <c r="N56" i="4"/>
  <c r="H56" i="4"/>
  <c r="Y55" i="4"/>
  <c r="Q55" i="4"/>
  <c r="N55" i="4"/>
  <c r="H55" i="4"/>
  <c r="Y54" i="4"/>
  <c r="T54" i="4"/>
  <c r="Q54" i="4"/>
  <c r="N54" i="4"/>
  <c r="H54" i="4"/>
  <c r="Y53" i="4"/>
  <c r="T53" i="4"/>
  <c r="Q53" i="4"/>
  <c r="N53" i="4"/>
  <c r="Y52" i="4"/>
  <c r="Q52" i="4"/>
  <c r="N52" i="4"/>
  <c r="Y51" i="4"/>
  <c r="T51" i="4"/>
  <c r="Q51" i="4"/>
  <c r="N51" i="4"/>
  <c r="Y50" i="4"/>
  <c r="T50" i="4"/>
  <c r="Q50" i="4"/>
  <c r="N50" i="4"/>
  <c r="T49" i="4"/>
  <c r="Q49" i="4"/>
  <c r="N49" i="4"/>
  <c r="T48" i="4"/>
  <c r="Q48" i="4"/>
  <c r="N48" i="4"/>
  <c r="T46" i="4"/>
  <c r="Q46" i="4"/>
  <c r="N46" i="4"/>
  <c r="Q44" i="4"/>
  <c r="N44" i="4"/>
  <c r="T43" i="4"/>
  <c r="Q43" i="4"/>
  <c r="N43" i="4"/>
  <c r="Y42" i="4"/>
  <c r="T42" i="4"/>
  <c r="Q42" i="4"/>
  <c r="N42" i="4"/>
  <c r="Y41" i="4"/>
  <c r="T41" i="4"/>
  <c r="Q41" i="4"/>
  <c r="N41" i="4"/>
  <c r="Y40" i="4"/>
  <c r="Q40" i="4"/>
  <c r="N40" i="4"/>
  <c r="Y39" i="4"/>
  <c r="Q39" i="4"/>
  <c r="N39" i="4"/>
  <c r="Y38" i="4"/>
  <c r="T38" i="4"/>
  <c r="Q38" i="4"/>
  <c r="N38" i="4"/>
  <c r="Y37" i="4"/>
  <c r="Q37" i="4"/>
  <c r="N37" i="4"/>
  <c r="Y36" i="4"/>
  <c r="T36" i="4"/>
  <c r="Q36" i="4"/>
  <c r="N36" i="4"/>
  <c r="Y35" i="4"/>
  <c r="T35" i="4"/>
  <c r="Q35" i="4"/>
  <c r="N35" i="4"/>
  <c r="H35" i="4"/>
  <c r="Y34" i="4"/>
  <c r="Q34" i="4"/>
  <c r="N34" i="4"/>
  <c r="H34" i="4"/>
  <c r="Y33" i="4"/>
  <c r="Q33" i="4"/>
  <c r="N33" i="4"/>
  <c r="H33" i="4"/>
  <c r="Y32" i="4"/>
  <c r="T32" i="4"/>
  <c r="Q32" i="4"/>
  <c r="N32" i="4"/>
  <c r="H32" i="4"/>
  <c r="Y29" i="4"/>
  <c r="T29" i="4"/>
  <c r="Q29" i="4"/>
  <c r="N29" i="4"/>
  <c r="H29" i="4"/>
  <c r="Y28" i="4"/>
  <c r="T28" i="4"/>
  <c r="Q28" i="4"/>
  <c r="N28" i="4"/>
  <c r="H28" i="4"/>
  <c r="Y27" i="4"/>
  <c r="T27" i="4"/>
  <c r="N27" i="4"/>
  <c r="H27" i="4"/>
  <c r="T25" i="4"/>
  <c r="N25" i="4"/>
  <c r="T24" i="4"/>
  <c r="Q24" i="4"/>
  <c r="N24" i="4"/>
  <c r="T23" i="4"/>
  <c r="Q23" i="4"/>
  <c r="N23" i="4"/>
  <c r="H23" i="4"/>
  <c r="T22" i="4"/>
  <c r="Q22" i="4"/>
  <c r="N22" i="4"/>
  <c r="H22" i="4"/>
  <c r="Q21" i="4"/>
  <c r="N21" i="4"/>
  <c r="H21" i="4"/>
  <c r="T20" i="4"/>
  <c r="Q20" i="4"/>
  <c r="N20" i="4"/>
  <c r="H20" i="4"/>
  <c r="T19" i="4"/>
  <c r="Q19" i="4"/>
  <c r="N19" i="4"/>
  <c r="H19" i="4"/>
  <c r="T18" i="4"/>
  <c r="Q18" i="4"/>
  <c r="N18" i="4"/>
  <c r="H18" i="4"/>
  <c r="T17" i="4"/>
  <c r="Q17" i="4"/>
  <c r="N17" i="4"/>
  <c r="H17" i="4"/>
  <c r="Y16" i="4"/>
  <c r="T16" i="4"/>
  <c r="Q16" i="4"/>
  <c r="N16" i="4"/>
  <c r="Y15" i="4"/>
  <c r="T15" i="4"/>
  <c r="Q15" i="4"/>
  <c r="N15" i="4"/>
  <c r="Y14" i="4"/>
  <c r="T14" i="4"/>
  <c r="Q14" i="4"/>
  <c r="N14" i="4"/>
  <c r="Y13" i="4"/>
  <c r="T13" i="4"/>
  <c r="Q13" i="4"/>
  <c r="N13" i="4"/>
  <c r="Y12" i="4"/>
  <c r="Q12" i="4"/>
  <c r="N12" i="4"/>
  <c r="Y11" i="4"/>
  <c r="T11" i="4"/>
  <c r="Q11" i="4"/>
  <c r="N11" i="4"/>
  <c r="H11" i="4"/>
  <c r="Y10" i="4"/>
  <c r="Q10" i="4"/>
  <c r="N10" i="4"/>
  <c r="H10" i="4"/>
  <c r="Y9" i="4"/>
  <c r="T9" i="4"/>
  <c r="Q9" i="4"/>
  <c r="N9" i="4"/>
  <c r="H9" i="4"/>
  <c r="H5" i="4"/>
  <c r="I1" i="4"/>
  <c r="I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ირინა შერვაშიძე
სადგამები 1800
სიგელები 250</t>
        </r>
      </text>
    </comment>
    <comment ref="D12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პროტოკოლი
</t>
        </r>
      </text>
    </comment>
  </commentList>
</comments>
</file>

<file path=xl/sharedStrings.xml><?xml version="1.0" encoding="utf-8"?>
<sst xmlns="http://schemas.openxmlformats.org/spreadsheetml/2006/main" count="1482" uniqueCount="711">
  <si>
    <t>შენიშვნა</t>
  </si>
  <si>
    <t>სავარაუდო ღირებულება</t>
  </si>
  <si>
    <t>შესყიდვის საშუალება</t>
  </si>
  <si>
    <t>სატელეფონო მომსახურება</t>
  </si>
  <si>
    <t>ლაბორატორიული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</si>
  <si>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</si>
  <si>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საწვავი</t>
  </si>
  <si>
    <t>სხვადასხვა საკვები პროდუქტები</t>
  </si>
  <si>
    <t>საოფისე მანქანები, კომპიუტერების, პრინტერებისა და ავეჯის გარდა</t>
  </si>
  <si>
    <t>საკანცელარიო საქონელი</t>
  </si>
  <si>
    <t>ტონერები და კარტრიჯები</t>
  </si>
  <si>
    <t>გასანათებელი მოწყობილობები და ელექტრო ნათურები</t>
  </si>
  <si>
    <t>პერსონალური კომპიუტერების, საოფისე აპარატურის, სატელეკომუნიკაციო და აუდიო-ვიზუალური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</si>
  <si>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სატელეკომუნიკაციო მომსახურებები</t>
  </si>
  <si>
    <t>ინტერნეტ მომსახურებები</t>
  </si>
  <si>
    <t>გამოძიებასთან და უსაფრთხოებასთან დაკავშირებული მომსახურებები</t>
  </si>
  <si>
    <t>ჯანდაცვის სამსახურის მომსახურებები</t>
  </si>
  <si>
    <t>დასუფთავება და სანიტარული ღონისძიებები</t>
  </si>
  <si>
    <t>მერიის ადმინისტრაციული შენობების დალაგება-დასუფთავების მომსახურება</t>
  </si>
  <si>
    <t>არაეთილირებული ბენზინი და დიზელის საწვავი</t>
  </si>
  <si>
    <t>ბაინდერები, საქაღალდეები, ფაილები</t>
  </si>
  <si>
    <t>საბიუჯეტო მუხლი</t>
  </si>
  <si>
    <t>ელექტრონული ტენდერი</t>
  </si>
  <si>
    <t>გამ. ელექტრონ. ტენდერი</t>
  </si>
  <si>
    <t>მინერალური წყლები</t>
  </si>
  <si>
    <t>სასმელები, თამბაქო და მონათესავე პროდუქტები</t>
  </si>
  <si>
    <t>პირადი ჰიგიენის პროდუქტები</t>
  </si>
  <si>
    <t>ყავა, ჩაი, შაქარი, საკონდიტრო ნაწარმი</t>
  </si>
  <si>
    <t>გამარტივებული შესყიდვა</t>
  </si>
  <si>
    <t>მე-3 მუხ. 1-ლი პუნქ. "ს" ქვეპუნ.</t>
  </si>
  <si>
    <t>ბრონქული ასთმით დაავადებულ პაციენტთა მედიკამენტებით უზრუნველყოფა</t>
  </si>
  <si>
    <t>დამატებითი ინფორმაცია</t>
  </si>
  <si>
    <t>პროგრამის კოდი</t>
  </si>
  <si>
    <t>შენობის მოწყობილობების შეკეთება და ტექნიკური მომსახურება</t>
  </si>
  <si>
    <t>პროგრამა "კოდექსის" განახლება</t>
  </si>
  <si>
    <t>ლარი</t>
  </si>
  <si>
    <t>№</t>
  </si>
  <si>
    <t xml:space="preserve">დანაყოფის კოდი </t>
  </si>
  <si>
    <t>შესყიდვების დაწყების სავარაუდო ვადები</t>
  </si>
  <si>
    <t>კონკურსი</t>
  </si>
  <si>
    <t>დანაყოფის დასახელება/შესყიდვის ობიექტი</t>
  </si>
  <si>
    <t>გაფორმებული ხელშეკრულება</t>
  </si>
  <si>
    <t>მიმწოდებელი</t>
  </si>
  <si>
    <t>საოფისე აპარატურის მიმდინარე რემონტი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</si>
  <si>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</si>
  <si>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</si>
  <si>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წყლის სისტემების რეაბილიტაცია</t>
  </si>
  <si>
    <t>კანალიზაციის სისტემების რეაბილიტაცია</t>
  </si>
  <si>
    <t>ქალაქის დაგეგმარება</t>
  </si>
  <si>
    <t>საკომპენსაციო თანხებით მოქალაქეთა უზრუნველყოფა</t>
  </si>
  <si>
    <t>კოდი</t>
  </si>
  <si>
    <t>დასახელება</t>
  </si>
  <si>
    <t>გაფორმებულია</t>
  </si>
  <si>
    <t>ხელშკერულების სტატუსი</t>
  </si>
  <si>
    <t>გამოცხადებულია</t>
  </si>
  <si>
    <t>არ გამოცხადებულა</t>
  </si>
  <si>
    <t>შესყიდვის მთლიანი თანხა</t>
  </si>
  <si>
    <t>წელი</t>
  </si>
  <si>
    <t>მე-10(1) მუხლ. მე-3 პუნქ. ”დ” ქვეპ.</t>
  </si>
  <si>
    <t>მე-10(1) მუხლ. მე-3 პუნქ. ”ბ” ქვეპ.</t>
  </si>
  <si>
    <t>მე-10(1) მუხლ. მე-3 პუნქ. ”ზ” ქვეპ.</t>
  </si>
  <si>
    <t>მე-10(1) მუხლ. მე-3 პუნქ. ”ა” ქვეპ.</t>
  </si>
  <si>
    <t>პროგრამის დასახელება</t>
  </si>
  <si>
    <t>თანხა სულ</t>
  </si>
  <si>
    <t>კანონის მუხლი, საფუძველი, შენიშვნა</t>
  </si>
  <si>
    <t>მე-10(1) მუხლ. მე-3 პუნქ. ”გ” ქვეპ.</t>
  </si>
  <si>
    <t>შერჩევა-შეფასება</t>
  </si>
  <si>
    <t>საქონლის მიწოდება, სამუშაოს შესრულება ან მომსახურების გაწევა მხოლოდ ერთი პირის ექსკლუზიური უფლებაა</t>
  </si>
  <si>
    <t>კანონის მუხლი</t>
  </si>
  <si>
    <t>შინაარსი</t>
  </si>
  <si>
    <t>არსებობს გადაუდებელი აუცილებლობა</t>
  </si>
  <si>
    <t xml:space="preserve"> მიმწოდებლისაგან შესყიდული ობიექტის ხარისხის გაუარესების თავიდან აცილების ან/და მისი შემდგომი ექსპლუატაციის უზრუნველყოფის მიზნით</t>
  </si>
  <si>
    <t>სახელმწიფოებრივი და საზოგადოებრივი მნიშვნელობის ღონისძიების შეზღუდულ ვადებში შეუფერხებლად ჩატარების მიზნით, საქართველოს პრეზიდენტის ან/და საქართველოს მთავრობის სამართლებრივი აქტით დადგინდა შესყიდვების განხორციელება</t>
  </si>
  <si>
    <t>ხორციელდება ერთი ან ერთზე მეტი ავტოსატრანსპორტო საშუალების, კომპიუტერული ტექნიკის, ასევე  შესაბამისი ნორმატიული აქტით განსაზღვრული ელექტროდანადგარის ახალი, იმავე ან გაუმჯობესებული პარამეტრების მქონე ერთი ან ერთზე მეტი ავტოსატრანსპორტო საშუალებით, კომპიუტერული ტექნიკით ან/და ელექტროდანადგარით ჩანაცვლება</t>
  </si>
  <si>
    <t>სახელმწიფო შესყიდვა ხორციელდება საქართველოს ნორმატიული აქტით დადგენილი გადასახდელების გადახდის გზით</t>
  </si>
  <si>
    <t>მე-10(1) მუხლ. მე-3 პუნქ. ”თ” ქვეპ.</t>
  </si>
  <si>
    <t>ორციელდება საქართველოს მთავრობის დადგენილებით განსაზღვრული წლოვანების ან/და პირობების მქონე გარანტიის ავტოსატრანსპორტო საშუალების ტექნიკური მომსახურების ან/და ასეთი მომსახურებისათვის საჭირო სათადარიგო ნაწილების ან/და საცხებ-საპოხი მასალების სახელმწიფო შესყიდვა</t>
  </si>
  <si>
    <t>სახელმწიფოს მიერ დაფუძნებული არასამეწარმეო (არაკომერციული) იურიდიული პირი − უმაღლესი საგანმანათლებლო დაწესებულება და უმაღლესი საგანმანათლებლო დაწესებულების განვითარების ფონდი ახორციელებენ ლიტერატურის (ბეჭდურის, ელექტრონულ ან აუდიოვიზუალურ მატარებელზე განთავსებულის) შესყიდვას</t>
  </si>
  <si>
    <t>მე-10(1) მუხლ. მე-3 პუნქ. ”ი” ქვეპ.</t>
  </si>
  <si>
    <t>მე-10(1) მუხლ. მე-3(1) პუნქტი</t>
  </si>
  <si>
    <t>მე-10(1) მუხლ. მე-3 პუნქ. ”ვ” ქვეპ.</t>
  </si>
  <si>
    <t>ხორციელდება წარმომადგენლობით ხარჯებთან დაკავშირებული სახელმწიფო შესყიდვა</t>
  </si>
  <si>
    <t>შესყიდვის საშუალება, რომელიც გამოიყენება 5 000 ლარამდე ღირებულების შესყიდვის ერთგვაროვანი ობიექტების  სახელმწიფო შესყიდვის შემთხვევაში</t>
  </si>
  <si>
    <r>
      <t xml:space="preserve">სახელმწიფოებრივი და საზოგადოებრივი მნიშვნელობის ღონისძიების შეზღუდულ ვადაში შეუფერხებლად ჩატარების მიზნით, საქართველოს პრეზიდენტის ან/და საქართველოს მთავრობის სამართლებრივი აქტით შესაძლებელია ერთი საბიუჯეტო წლის განმავლობაში დადგინდეს 200 000 ლარის ან 200 000 ლარზე მეტი ღირებულების შესყიდვის ერთგვაროვანი ობიექტების </t>
    </r>
    <r>
      <rPr>
        <sz val="10"/>
        <color rgb="FFFF0000"/>
        <rFont val="Calibri"/>
        <family val="2"/>
        <scheme val="minor"/>
      </rPr>
      <t>გამარტივებული ელექტრონული ტენდერის</t>
    </r>
    <r>
      <rPr>
        <sz val="10"/>
        <color theme="1"/>
        <rFont val="Calibri"/>
        <family val="2"/>
        <scheme val="minor"/>
      </rPr>
      <t xml:space="preserve"> მეშვეობით შესყიდვის განხორციელება</t>
    </r>
  </si>
  <si>
    <t>მე-10(1) მუხლ. მე-3 პუნქ. ”ე” ქვეპ.</t>
  </si>
  <si>
    <t>პარკინსონით დაავადებულ პირთა მედიკამენტებით უზრუნველყოფა</t>
  </si>
  <si>
    <t>სადაზღვევო და საპენსიო მომსახურებები</t>
  </si>
  <si>
    <t>მონაცემთა ბაზების მომსახურება</t>
  </si>
  <si>
    <t>01 02</t>
  </si>
  <si>
    <t>იზოლირებული მავთული და კაბელი</t>
  </si>
  <si>
    <t>ელექტროსადენები და აქსესუარები</t>
  </si>
  <si>
    <t>ელექტროენერგიის გამანაწილებელი და საკონტროლო აპარატურა</t>
  </si>
  <si>
    <t>ცვლილ. №</t>
  </si>
  <si>
    <t>საბეჭდი ქაღალდი</t>
  </si>
  <si>
    <t>კომპიუტერული და პერიფერიული ტექნიკის შეძენა</t>
  </si>
  <si>
    <t>სხვაობა</t>
  </si>
  <si>
    <t>ქ. ბათუმის მერიის ბალანსზე რიცხული ავტომანქანების პარკირების საფასური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</si>
  <si>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</si>
  <si>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04 00</t>
  </si>
  <si>
    <t>ძველი</t>
  </si>
  <si>
    <t>კონსოლიდირებ. ტენდერი</t>
  </si>
  <si>
    <t>ქ. ბათუმის მერიის ბალანსზე რიცხული ავტომობილების დაზღვევა</t>
  </si>
  <si>
    <t>სამრეწველო საქონლის და ხელსაწყოების შეძენა</t>
  </si>
  <si>
    <t>საბავშვო ბაღების შენობების რეაბილიტაცია</t>
  </si>
  <si>
    <t>01 00</t>
  </si>
  <si>
    <t>წარმომადგენლობითი და აღმასრულებელი ორგანოების დაფინანსება</t>
  </si>
  <si>
    <t>03 01 01</t>
  </si>
  <si>
    <t>ბათუმში კომუნალური ინფრასტრუქტურის დაწესებულებათა რეაბილიტაციის პროექტის თანადაფინანსება</t>
  </si>
  <si>
    <t>03 03</t>
  </si>
  <si>
    <t>03 03 01</t>
  </si>
  <si>
    <t>03 03 02</t>
  </si>
  <si>
    <t>ბათუმის ისტორიული უბნებისა და ტურისტული ინფრასტრუქტურის რეაბილიტაცია</t>
  </si>
  <si>
    <t>განათლება</t>
  </si>
  <si>
    <t>05 00</t>
  </si>
  <si>
    <t>კულტურა, რელიგია, ახალგაზრდობის ხელშეწყობა და სპორტი</t>
  </si>
  <si>
    <t>05 01</t>
  </si>
  <si>
    <t>სპორტის განვითარების ხელშეწყობა</t>
  </si>
  <si>
    <t>05 02</t>
  </si>
  <si>
    <t>05 02 02</t>
  </si>
  <si>
    <t>05 03</t>
  </si>
  <si>
    <t>06 00</t>
  </si>
  <si>
    <t>მოსახლეობის ჯანმრთელობისა დაცვა და  სოციალური უზრუნველყოფა</t>
  </si>
  <si>
    <t>06 01</t>
  </si>
  <si>
    <t>ჯანმრთელობის დაცვა</t>
  </si>
  <si>
    <t>06 01 01</t>
  </si>
  <si>
    <t>06 01 02</t>
  </si>
  <si>
    <t>06 01 04</t>
  </si>
  <si>
    <t>ფსიქიური პრობლემების მქონე პირთა ფსიქო-სოციალური რეაბილიტაცია</t>
  </si>
  <si>
    <t>06 01 05</t>
  </si>
  <si>
    <t>06 01 07</t>
  </si>
  <si>
    <t>06 01 08</t>
  </si>
  <si>
    <t>06 01 09</t>
  </si>
  <si>
    <t>06 02</t>
  </si>
  <si>
    <t>სოციალური უზრუნველყოფა</t>
  </si>
  <si>
    <t>06 02 01</t>
  </si>
  <si>
    <t>06 02 04</t>
  </si>
  <si>
    <t>ეკონომიკური</t>
  </si>
  <si>
    <t>სამხედრო</t>
  </si>
  <si>
    <t>კეთილმოწყობა</t>
  </si>
  <si>
    <t>ჯანდაცვა</t>
  </si>
  <si>
    <t>ქ. ბათუმის მერიის ობიექტების ინტერნეტ მომსახურება</t>
  </si>
  <si>
    <t>სატელევიზიო და რადიომომსახურებები</t>
  </si>
  <si>
    <t>სატელევიზიო საკაბელო მომსახურება</t>
  </si>
  <si>
    <t>სასმელი წყალი</t>
  </si>
  <si>
    <t>ბუნებრივი წყალი</t>
  </si>
  <si>
    <t>ელექტრო საქონლისა და ნათურების შეძენა</t>
  </si>
  <si>
    <t>სპეციალური კავშირგაბმულობის სისტემის მომსახურება</t>
  </si>
  <si>
    <t>სასტუმრო მომსახურება</t>
  </si>
  <si>
    <t>სარესტორნო და კვებითი მომსახურება</t>
  </si>
  <si>
    <t>სუვენირების შეძენა</t>
  </si>
  <si>
    <t>ქ. ბათუმის ტერიტორიაზე არსებული დაწესებულებების სანიტარული მონიტორინგი</t>
  </si>
  <si>
    <t>ქალაქ ბათუმის მუნიციპალიტეტის მერია</t>
  </si>
  <si>
    <t>03 04</t>
  </si>
  <si>
    <t>03 04 01</t>
  </si>
  <si>
    <t>ზოგადი განათლების ხელშეწყობა</t>
  </si>
  <si>
    <t>04 02</t>
  </si>
  <si>
    <t>04 02 01</t>
  </si>
  <si>
    <t>04 03</t>
  </si>
  <si>
    <t>04 03 01</t>
  </si>
  <si>
    <t>აპარატი</t>
  </si>
  <si>
    <t>აკუმულატორები, პირველადი ელემენტები და პირველადი ბატარეები</t>
  </si>
  <si>
    <t>კომპიუტერებისათვის უწყვეტი დენის წყაროს შეძენა</t>
  </si>
  <si>
    <t>მე-9 მუხლ. მე-3(1) პუნქტი ”ა” ქვეპ.</t>
  </si>
  <si>
    <t>შესყიდვის ცალ-ცალკე პროცედურებით განხორციელება გამოწვეულია გეოგრაფიული ფაქტორით ან/და გამართლებულია სახსრების რაციონალური ხარჯვის თვალსაზრისით</t>
  </si>
  <si>
    <t>საკომუნიკაციო ჭების მომსახურება</t>
  </si>
  <si>
    <t>სსიპ 112-ის მომსახურება</t>
  </si>
  <si>
    <t>03 01 02</t>
  </si>
  <si>
    <t>ბათუმელი სპორტსმენების ინდივიდუალური განვითარების ხელშეწყობა</t>
  </si>
  <si>
    <t>ინტელექტუალური და შემეცნებითი პროექტების მხარდაჭერა</t>
  </si>
  <si>
    <t>შ.შ.მ. სტატუსის ბავშვთა და ვეტერანთა საკურორტო სამკურნალო-რეაბილიტაცია</t>
  </si>
  <si>
    <t>პროგრამული პაკეტების მომსახურე პროგრამები</t>
  </si>
  <si>
    <t>მემორიალების პროექტების შედგენა</t>
  </si>
  <si>
    <t>დანართი</t>
  </si>
  <si>
    <t>ნაწილები და აქსესუარები სატრანსპორტო საშუალებებისა და მათი ძრავებისათვის</t>
  </si>
  <si>
    <t>ავტომანქანების საბურავები</t>
  </si>
  <si>
    <t>საგზაო ინფრასტრუქტურის განვითარება</t>
  </si>
  <si>
    <t>გზების, ქუჩებისა და ტროტუარების მიმდინარე მოვლა-პატრონობა</t>
  </si>
  <si>
    <t>საგზაო ინფრასტრუქტურის რეაბილიტაცია და კაპიტალური მშენებლობა</t>
  </si>
  <si>
    <t>სანიაღვრე სისტემების რეაბილიტაცია და მოვლა-პატრონობა</t>
  </si>
  <si>
    <t>ქალაქის დასუფთავება და ნარჩენების გატანა</t>
  </si>
  <si>
    <t>გარე განათების ქსელის განვითარება და მოვლა-პატრონობა</t>
  </si>
  <si>
    <t>პარკების, სკვერებისა და მოედნების ინფრასტრუქტურის რეაბილიტაცია და მშენებლობა</t>
  </si>
  <si>
    <t>ქალაქის გაფორმების ღონისძიებები</t>
  </si>
  <si>
    <t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t>
  </si>
  <si>
    <t>საცხოვრებელი სახლების მშენებლობა</t>
  </si>
  <si>
    <t>საპროექტო-სახარჯთაღრიცხვო დოკუმენტაციის შედგენა</t>
  </si>
  <si>
    <t>ქალაქის განვითარების გეგმის შედგენა</t>
  </si>
  <si>
    <t>04 01</t>
  </si>
  <si>
    <t>04 01 02</t>
  </si>
  <si>
    <t>პროფესიული განვითარებისა და უმაღლესი განათლების ხელშეწყობა</t>
  </si>
  <si>
    <t>პროფესიული განვითარების  ხელშეწყობა</t>
  </si>
  <si>
    <t>04 02 02</t>
  </si>
  <si>
    <t>ლუკა ასათიანის სახელობის სტიპენდია წარმატებული სტუდენტებისათვის</t>
  </si>
  <si>
    <t>საერთაშორისო სპორტული ღონისძიებების მხარდაჭერა</t>
  </si>
  <si>
    <t>05 01 03</t>
  </si>
  <si>
    <t>სასპორტო ინფრასტრუქტურის მშენებლობა და რეაბილიტაცია</t>
  </si>
  <si>
    <t>კულტურის სფეროში თავისუფალი ინიციატივების მხარდაჭერა</t>
  </si>
  <si>
    <t>ხელოვანთა ხელშეწყობა</t>
  </si>
  <si>
    <t>ახალგაზრდობის განვითარების ხელშეწყობა</t>
  </si>
  <si>
    <t>ახალგაზრდული ცენტრი</t>
  </si>
  <si>
    <t>სტუდენტური საზაფხულო დასაქმება</t>
  </si>
  <si>
    <t>მოწყვლადი ჯგუფების სტომატოლოგიური და  ორთოპედიული  მომსახურეობა</t>
  </si>
  <si>
    <t>ქრონიკული დაავადებების მქონე პაციენტთა მონიტორინგი და დიაგნოსტიკა</t>
  </si>
  <si>
    <t>ახალშობილთა და ბავშვთა განვითარების შეფერხების პრევენცია და რეაბილიტაცია</t>
  </si>
  <si>
    <t>ბათუმის ტერიტორიაზე არსებული დაწესებულებების სანიტარული მონიტორინგი</t>
  </si>
  <si>
    <t xml:space="preserve">კომუნალური მომსახურების საფასურის სუბსიდირება </t>
  </si>
  <si>
    <t>მზრუნველობას მოკლებულ ბენეფიციართა მოვლა-პატრონობა და  მოვლის საჭიროების მქონე პირთა დახმარება</t>
  </si>
  <si>
    <t>არქიტექტურა</t>
  </si>
  <si>
    <t>სახმელეთო, წყლისა და საჰაერო ტრანსპორტის დამხმარე მომსახურებები</t>
  </si>
  <si>
    <t>06 03</t>
  </si>
  <si>
    <t>06 03 01</t>
  </si>
  <si>
    <t>06 03 02</t>
  </si>
  <si>
    <t>06 03 03</t>
  </si>
  <si>
    <t>სანიტარიული ზედამხედველობა და ეპიდსიტუაციის მართვა</t>
  </si>
  <si>
    <t>დეზინსექცია დერატიზაციის ღონისძიებები</t>
  </si>
  <si>
    <t>მაწანწალა ცხოველების  მოვლა-პატრონობისა და პოპულაციის რეგულირების  ღონისძიებები</t>
  </si>
  <si>
    <t>ონკოლოგიურ დაავადებათა ადრეული ფორმების დიაგნოსტიკა და პრევენცია</t>
  </si>
  <si>
    <t xml:space="preserve"> სკოლამდელი აღზრდა და განათლება       </t>
  </si>
  <si>
    <t>ინფრასტრუქტურისა და მუნიციპალური კომუნალური სერვისების განვითარება</t>
  </si>
  <si>
    <t>01 06</t>
  </si>
  <si>
    <t>წვევამდელთა ტრანსპორტირება</t>
  </si>
  <si>
    <t>საბაზისო კომუნალური ინფრასტრუქტურის განვითარება</t>
  </si>
  <si>
    <t>ეკოლოგიური მდგომარეობის გაუმჯობესება და სარეკრეაციო ინფრასტრუქტურის განვითარება</t>
  </si>
  <si>
    <t>ქ. ბათუმში დაბადებულ ახალშობილთა სქრინინგი მუკოვისციდოზზე</t>
  </si>
  <si>
    <r>
      <t xml:space="preserve">2. შემსყიდველი ორგანიზაციის საიდენტიფიკაციო კოდი:
</t>
    </r>
    <r>
      <rPr>
        <b/>
        <sz val="11"/>
        <rFont val="Sylfaen"/>
        <family val="1"/>
        <charset val="204"/>
      </rPr>
      <t>245 576 826</t>
    </r>
  </si>
  <si>
    <r>
      <rPr>
        <sz val="11"/>
        <rFont val="Sylfaen"/>
        <family val="1"/>
        <charset val="204"/>
      </rPr>
      <t>3. შემსყიდველი ორგანიზაციის დასახელება:</t>
    </r>
    <r>
      <rPr>
        <b/>
        <sz val="11"/>
        <rFont val="Sylfaen"/>
        <family val="1"/>
        <charset val="204"/>
      </rPr>
      <t xml:space="preserve">
ადგილობრივი თვითმმართველობის ორგანო
ქალაქ ბათუმის მუნიციპალიტეტის მერია</t>
    </r>
  </si>
  <si>
    <r>
      <t xml:space="preserve">4. დაფინანსების წყარო :
</t>
    </r>
    <r>
      <rPr>
        <b/>
        <sz val="11"/>
        <rFont val="Sylfaen"/>
        <family val="1"/>
        <charset val="204"/>
      </rPr>
      <t>ქალაქ ბათუმის მუნიციპალიტეტის ბიუჯეტი</t>
    </r>
  </si>
  <si>
    <t>01 02 01</t>
  </si>
  <si>
    <t>01 02 02</t>
  </si>
  <si>
    <t>01 02 03</t>
  </si>
  <si>
    <t>01 02 04</t>
  </si>
  <si>
    <t>01 02 05</t>
  </si>
  <si>
    <t>01 02 06</t>
  </si>
  <si>
    <t>აპარატი - IT</t>
  </si>
  <si>
    <t>სოციალური</t>
  </si>
  <si>
    <t>აპარატი - მატერ-ტექნიკ.</t>
  </si>
  <si>
    <t>აპარატი - საქმისწარმოება</t>
  </si>
  <si>
    <t>01 02 07</t>
  </si>
  <si>
    <t>ზედამხედველობა</t>
  </si>
  <si>
    <t>01 02 08</t>
  </si>
  <si>
    <t>აპარატი - იურიდიული</t>
  </si>
  <si>
    <t>საფინანსო</t>
  </si>
  <si>
    <t>აპარატი - შესყიდვები</t>
  </si>
  <si>
    <t>01 02 11</t>
  </si>
  <si>
    <t>01 02 12</t>
  </si>
  <si>
    <t>აპარატი - HR</t>
  </si>
  <si>
    <t>09100000</t>
  </si>
  <si>
    <t>04 02 03</t>
  </si>
  <si>
    <t>პროფესიული საგანმანათლებლო დაწესებულების განვითარების ხელშეწყობა</t>
  </si>
  <si>
    <t>კულტურული მემკვიდრეობის დაცვა</t>
  </si>
  <si>
    <t>"ახალგაზრდულიო ცენტრის" ინტერნეტ მომსახურება</t>
  </si>
  <si>
    <t>ვეტერანების, მათთან გათანაბრებული პირების, ომში დაღუპულთა ოჯახის წევრების და მარჩენალდაკარგულებისათვის თხევადი აირის მიწოდება</t>
  </si>
  <si>
    <t>ქალაქის ტერიტორიის დეზინსექცია-დერატიზაციის ღონისძიებები</t>
  </si>
  <si>
    <t>ეპილეფსიით დაავადებულ პაციენტთა მედიკამენტებით უზრუნველყოფა</t>
  </si>
  <si>
    <t>მოწყვლადი ჯგუფების სტომატოლოგიური, ორთოდონტიული და ორთოპედიული მომსახურეობა</t>
  </si>
  <si>
    <t>ქ. ბათუმში დაბადებულ ახალშობილთა სმენის სკრინინგული გამოკვლევა</t>
  </si>
  <si>
    <t>ქ. ბათუმში რეგისტრირებული 2-დან 10 წლამდე ასაკის სმენის დარღვევის მქონე ბავშვთა რეაბილიტაცია</t>
  </si>
  <si>
    <t>აპარატი - PR</t>
  </si>
  <si>
    <t>აპარატი - პროტოკოლი</t>
  </si>
  <si>
    <t>განათ. და კულტურა</t>
  </si>
  <si>
    <t>ახალგაზ. და სპორტი</t>
  </si>
  <si>
    <t>სანიტარული</t>
  </si>
  <si>
    <t>07 00</t>
  </si>
  <si>
    <t>07 01</t>
  </si>
  <si>
    <t>07 01 01</t>
  </si>
  <si>
    <t>07 01 02</t>
  </si>
  <si>
    <t>07 02 01</t>
  </si>
  <si>
    <t>ინდუსტრიული/საწარმოო ბიზნეს ცენტრის შექმნა</t>
  </si>
  <si>
    <t>ეკონომიკური ფორუმების ორგანიზება</t>
  </si>
  <si>
    <t>თვითმმართველობის საკუთრებაში არსებული ქონების მართვა</t>
  </si>
  <si>
    <t>სპეციალური საგანმანათლებლო საჭიროების მქონე მოსწავლეთა ტრანსპორტირება</t>
  </si>
  <si>
    <t>ინკლუზიური განათლების ხელშეწყობა</t>
  </si>
  <si>
    <t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t>
  </si>
  <si>
    <t>01 07</t>
  </si>
  <si>
    <t>01 08</t>
  </si>
  <si>
    <t>მუნიციპალიტეტის საჯარო მოსამსახურეთა პროფესიული განვითარება</t>
  </si>
  <si>
    <t>06 02 10</t>
  </si>
  <si>
    <t>მოწყვლადი სოციალური კატეგორიებისათვის მინიმალური სოციალური პირობების შექმნა</t>
  </si>
  <si>
    <t>03 02</t>
  </si>
  <si>
    <t>03 02 01</t>
  </si>
  <si>
    <t>03 02 02</t>
  </si>
  <si>
    <t>03 02 03</t>
  </si>
  <si>
    <t>03 02 04</t>
  </si>
  <si>
    <t>03 03 06</t>
  </si>
  <si>
    <t>03 03 07</t>
  </si>
  <si>
    <t>მუნიციპალური სპორტული ინფრასტრუქტურის განვითარება და მოვლა-პატრონობა</t>
  </si>
  <si>
    <t>05 01 02</t>
  </si>
  <si>
    <t>კულტურული ღონისძიებები და ფესტივალები</t>
  </si>
  <si>
    <t>05 04</t>
  </si>
  <si>
    <t>კულტურულ-საგანმანათლებლო საქმიანობის ხელშეწყობა</t>
  </si>
  <si>
    <t>05 05</t>
  </si>
  <si>
    <t>კულტურული მემკვიდრეობის დაცვა და განვითარება</t>
  </si>
  <si>
    <t>05 03 04</t>
  </si>
  <si>
    <t>05 03 05</t>
  </si>
  <si>
    <t>05 04 04</t>
  </si>
  <si>
    <t>05 05 02</t>
  </si>
  <si>
    <t>05 05 03</t>
  </si>
  <si>
    <t>საერთაშორისო ფესტივალების მხარდაჭერა</t>
  </si>
  <si>
    <t>05 05 01</t>
  </si>
  <si>
    <t>კულტურული მემკვიდრეობის ძეგლების რეაბილიტაცია</t>
  </si>
  <si>
    <t>განმკარგავი</t>
  </si>
  <si>
    <t>არ შედგა, შეწყდა</t>
  </si>
  <si>
    <t>არ ჭირდება ხელშეკრ.</t>
  </si>
  <si>
    <t>მერიის ბალანსზე რიცხული ავტომანქანების გადაადგილების GPS ტექნოლოგიით მონიტორინგი</t>
  </si>
  <si>
    <t>ხილი, ბოსტნეული და მონათესავე პროდუქტები</t>
  </si>
  <si>
    <t> 15300000</t>
  </si>
  <si>
    <t>ხილის წვენები</t>
  </si>
  <si>
    <t>ქ. ბათუმის მერიის ადმინისტრაციული შენობების დაცვის მომსახურება</t>
  </si>
  <si>
    <t>თემზე დაფუძნებული მობილური გუნდის მომსახურება</t>
  </si>
  <si>
    <t>06 01 14</t>
  </si>
  <si>
    <t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t>
  </si>
  <si>
    <t>სატელეკომუნიკაციო მოწყობილობები და აქსესუარები</t>
  </si>
  <si>
    <t>ვიდეო-სამეთვალყურეო კამერების (სისტემების) მოვლა-პატრონობა</t>
  </si>
  <si>
    <t>06 01 10</t>
  </si>
  <si>
    <t>05 06 02</t>
  </si>
  <si>
    <t>05 06</t>
  </si>
  <si>
    <t>05 06 01</t>
  </si>
  <si>
    <t>05 06 03</t>
  </si>
  <si>
    <t>06 02 11</t>
  </si>
  <si>
    <t>შეზღუდული შესაძლებლობების მქონე პირების ასისტენტით მომსახურება</t>
  </si>
  <si>
    <t>მერიის ოფიციალური ვებ­გვერდის დომენური სახელის batumi.ge რეგისტრაცია და მომსახურება</t>
  </si>
  <si>
    <t>ტექნიკური შემოწმება, ანალიზი და საკონსულტაციო მომსახურებები</t>
  </si>
  <si>
    <t>ავეჯის აქსესუარები</t>
  </si>
  <si>
    <t>კონსოლიდირებული ტენდერი</t>
  </si>
  <si>
    <t>I კვარტალი 2019 წ.</t>
  </si>
  <si>
    <t>01 01</t>
  </si>
  <si>
    <t>ქალაქ ბათუმის მუნიციპალიტეტის საკრებულო</t>
  </si>
  <si>
    <t>საკრებულო</t>
  </si>
  <si>
    <t>ღია ბარათები, მისალოცი ბარათები და სხვა ნაბეჭდი მასალა</t>
  </si>
  <si>
    <t xml:space="preserve">01 01 </t>
  </si>
  <si>
    <t>საოჯახო ტექნიკა</t>
  </si>
  <si>
    <t>ანტივირუსული პროგრამული პაკეტები</t>
  </si>
  <si>
    <t>სხვადასხვა სახის სარემონტო (შესაკეთებელი) სამუშაოები და ტექნიკური მომსახურება</t>
  </si>
  <si>
    <t>ავეჯის შეკეთება და ტექნიკური მომსახურება</t>
  </si>
  <si>
    <t>ქ. ბათუმის მუნიციპალიტეტის საკრებულოს ბალანსზე რიცხული ავტომანქანების პარკირების საფასური</t>
  </si>
  <si>
    <t>ქ. ბათუმის მუნიციპალიტეტის საკრებულოს ბალანსზე რიცხული ავტომობილების დაზღვევა</t>
  </si>
  <si>
    <t>სამართლებრივი აქტების გამოქვეყნების მომსახურება</t>
  </si>
  <si>
    <t>ხილი და თხილეული</t>
  </si>
  <si>
    <t>ბურღულეული, კართოფილი, ბოსტნეული, ხილი და თხილეული</t>
  </si>
  <si>
    <t>კომპიუტერული მოწყობილობები და აქსესუარები</t>
  </si>
  <si>
    <t>შოკოლადი და ტკბილეული</t>
  </si>
  <si>
    <t>ქ. ბათუმის მუნიციპალიტეტის საკრებულოს ოფიციალური ვებ­გვერდის დომენური სახელის ge რეგისტრაცია და მომსახურება</t>
  </si>
  <si>
    <t>08 01 04</t>
  </si>
  <si>
    <t>აკუმულატორი</t>
  </si>
  <si>
    <t>საზოგადოების ინფორმირებულობის ამაღლება</t>
  </si>
  <si>
    <t>სპეციალური კავშირგაბმულობის სისტემის მომსახურება (საკრებულო)</t>
  </si>
  <si>
    <t>09200000</t>
  </si>
  <si>
    <t>ნავთობი, ქვანახშირი და ნავთობპროდუქტები</t>
  </si>
  <si>
    <t>სატრანსპორტო საშუალებების ძრავის ზეთები და ზეთის ფილტრები</t>
  </si>
  <si>
    <t>ინტელექტუალური თამაშების "რა? სად? როდის?" ორგანიზება</t>
  </si>
  <si>
    <t>ინტელექტუალური თამაშების "რა? სად? როდის?" ფარგლებში მონაწილეებისათვის სასაჩუქრე თასების შეძენა</t>
  </si>
  <si>
    <t>ნაბეჭდი წიგნები, ბროშურები და საინფორმაციო ფურცლები</t>
  </si>
  <si>
    <t>ინტელექტუალური თამაშების "რა? სად? როდის?" ფარგლებში მონაწილეებისათვის სასაჩუქრე წიგნების შეძენა</t>
  </si>
  <si>
    <t>ინტელექტუალური მედიაპროექტი ,,ეტალონი"-ს 1-ლი ეტაპის ორგანიზება</t>
  </si>
  <si>
    <t>ღონისძიების "წლის სპორტსმენი"-ს ორგანიზება</t>
  </si>
  <si>
    <t>ღონისძიების "წლის ხელოვანი"-ს ორგანიზება</t>
  </si>
  <si>
    <t xml:space="preserve"> საქმისწარმოების ავტომატიზებული სისტემის (eDocument) მომსახურების საფასური ქ. ბათუმის მუნიციპალიტეტის საკრებულოში</t>
  </si>
  <si>
    <t>ავტომანქანების საბურავები (საკრებულოს)</t>
  </si>
  <si>
    <t>სხვადასხვა ზოგადი და სპეციალური დანიშნულების მანქანა-დანადგარები</t>
  </si>
  <si>
    <t>მულტიფუნქციური (კომბინირებული) პრინტერი (კარტრიჯებით)</t>
  </si>
  <si>
    <t>ვებ ფილტრის (Barracuda Web Filter 410)
ერთ წლიანი ლიცენზია</t>
  </si>
  <si>
    <t>”საკანონმდებლო მაცნეს” ვებგვერდზე განთავსებული ნორმატიული აქტებით სარგებლობისათვის საფასური (საკრებულოს)</t>
  </si>
  <si>
    <t>სატრანსპორტო საშუალებების ტექნიკური ინსპექტირება (საკრებულო)</t>
  </si>
  <si>
    <t>ბავშვთა მენჯ-ბარძაყის დისპლაზიისა და თანდაყოლილი ამოვარდნილობის მკურნალობა</t>
  </si>
  <si>
    <t>სხვადასხვა მომსახურება</t>
  </si>
  <si>
    <t>"ახალგაზრდული ცენტრის" მოვლა-პატრონობის, დალაგება-დასუფთავების, ლიფტის მოვლა-პატრონობის მომსახურება</t>
  </si>
  <si>
    <t xml:space="preserve"> </t>
  </si>
  <si>
    <t>ხილი და თხილეული (საკრებულო)</t>
  </si>
  <si>
    <t>არაეთილირებული ბენზინი (საკრებულო)</t>
  </si>
  <si>
    <t>ყვავილის თაიგულები (საკრებულო)</t>
  </si>
  <si>
    <t>ხილის წვენები (საკრებულო)</t>
  </si>
  <si>
    <t>ყავა, ჩაი, შაქარი, საკონდიტრო ნაწარმი (საკრებულო)</t>
  </si>
  <si>
    <t>ქ. ბათუმის მერიის საკუთრებაში არსებული შენობებისა და ობიექტების დაცვის მომსახურება</t>
  </si>
  <si>
    <t>სამკაულები, საათები და მონათესავე ნივთები</t>
  </si>
  <si>
    <t>დოკუმენტების, გრაფიკული გამოსახულებების შექმნის, გამოსახულების დამუშავების, დაგეგმვისა და წარმადობის გაზრდის პროგრამული პაკეტები</t>
  </si>
  <si>
    <t>საკომუნიკაციო და მულტიმედიის პროგრამული პაკეტები</t>
  </si>
  <si>
    <t>მონაცემთა ბაზისა და ოპერაციული პროგრამული პაკეტები</t>
  </si>
  <si>
    <t>სასტუმროს მომსახურება</t>
  </si>
  <si>
    <t xml:space="preserve">რესტორნებისა და საზოგადოებრივი კვების საწარმოების მომსახურებები   </t>
  </si>
  <si>
    <t>საავტომობილო ტრანსპორტის მომსახურებები</t>
  </si>
  <si>
    <t>ადმინისტრაციული მომსახურება</t>
  </si>
  <si>
    <t>ქალაქის ან სოფლის ზონების დასუფთავება და სანიტალური მომსახურება, ასევე მათთან დაკავშირებული მომსახურებები</t>
  </si>
  <si>
    <t>ქალაქის ქუჩების, პარკების, მოედნების დასუფთავება, მორწყვა-მორეცხვა, ქუჩების თოვლის საფარისაგან გაწმენდა, მოყინვის საწინააღმდეგო სამუშოები, მსხვილფეხა რქოსანი პირუტყვის ქალაქში მოძრაობის აღკვეთა</t>
  </si>
  <si>
    <t>ნარჩენებთან და ნაგავთან დაკავშირებული მომსახურებები</t>
  </si>
  <si>
    <t>საყოფაცხოვრებო ნარჩენების და ანახვეტის გატანა, თოვლის გატანა</t>
  </si>
  <si>
    <t>ნაგავსაყრელის ექსპლუატაცია და სანიტარული მომსახურება</t>
  </si>
  <si>
    <t>კომპიუტერებისთვის სათადარიგო კლავიატურებისა და მაუსების შეძენა</t>
  </si>
  <si>
    <t>სხვადასხვა კომერციული მომსახურება და მასთან დაკავშირებული მომსახურებები</t>
  </si>
  <si>
    <t>სახელმწიფო შესყიდვების  ერთიან ელექტრონულ სისტემაში სატენდერო და საკონკურსო განცხადებების გამოქვეყნება</t>
  </si>
  <si>
    <t>განცხადებებისა და სამართლებრივი აქტების ბეჭდვით მედიაში გამოქვეყნების მომსახურება</t>
  </si>
  <si>
    <t>ბეჭდვა და მასთან დაკავშირებული მომსახურებები</t>
  </si>
  <si>
    <t xml:space="preserve"> საქმისწარმოების ავტომატიზებული სისტემის (eDocument) მომსახურების საფასური ქ. ბათუმის მუნიციპალიტეტის მერიაში</t>
  </si>
  <si>
    <t>საინჟინრო მომსახურებები</t>
  </si>
  <si>
    <t>კონდიციონერების მიმდინარე რემონტი</t>
  </si>
  <si>
    <t>თანხა 2020</t>
  </si>
  <si>
    <t>მე-3 მუხ. 1-ლი პუნქ. "ვ" ქვეპუნ.</t>
  </si>
  <si>
    <t>შოკოლადი და ტკბილეული (საკრებულო)</t>
  </si>
  <si>
    <t>მინერალური წყლები (საკრებულო)</t>
  </si>
  <si>
    <t>მობილური ტელეფონების მომსახურება</t>
  </si>
  <si>
    <t>I კვარტალი 2018 წ.</t>
  </si>
  <si>
    <t>2018-2020</t>
  </si>
  <si>
    <t>2019-2020</t>
  </si>
  <si>
    <t>ხელნაკეთობები და ხელოვნების ნივთების შესაქმნელად საჭირო მასალები</t>
  </si>
  <si>
    <t>ხელოვნების ნივთების შესაქმნელად საჭირო მასალები</t>
  </si>
  <si>
    <t>საღებავები, ლაქები და მასტიკები</t>
  </si>
  <si>
    <t>სამხატვრო საღებავების შეძენა</t>
  </si>
  <si>
    <t>სპეციალური ტანსაცმელი და აქსესუარები</t>
  </si>
  <si>
    <t>ერთჯერადი ხელთათმანები</t>
  </si>
  <si>
    <t>ხელის სადეზინფექციო ხსნარი</t>
  </si>
  <si>
    <t>სამედიცინო მოწყობილობები</t>
  </si>
  <si>
    <t>თანხა 2021</t>
  </si>
  <si>
    <t>02 01 01</t>
  </si>
  <si>
    <t>02 00</t>
  </si>
  <si>
    <t>02 01</t>
  </si>
  <si>
    <t>01 02 09</t>
  </si>
  <si>
    <t>08 02 01</t>
  </si>
  <si>
    <t>მონაწილეობითი ბიუჯეტით შერჩეული პროექტების დაფინანსება</t>
  </si>
  <si>
    <t>მუნიციპალური ქონების და სერვისების მართვის სამსახური</t>
  </si>
  <si>
    <t>საფინანსო-საბიუჯეტო სამსახური</t>
  </si>
  <si>
    <t>08 00</t>
  </si>
  <si>
    <t>07 02 04</t>
  </si>
  <si>
    <t>07 02 05</t>
  </si>
  <si>
    <t>ქალაქმშენებლობითი დოკუმენტაციის შედგენა</t>
  </si>
  <si>
    <t>მუნიციპალური პოლიტიკის სამსახური</t>
  </si>
  <si>
    <t>მუნიციპალური სერვისების განვითარება</t>
  </si>
  <si>
    <t>ქალაქის ეკონომიკური და ურბანული განვითარება</t>
  </si>
  <si>
    <t>ქალაქგანვითარებისა და ურბანული პოლიტიკის სამსახური</t>
  </si>
  <si>
    <t>02 01 02</t>
  </si>
  <si>
    <t>02 01 03</t>
  </si>
  <si>
    <t>სამედიცინო პირბადეები (საკრებულო)</t>
  </si>
  <si>
    <t>ერთჯერადი ხელთათმანები (საკრებულო)</t>
  </si>
  <si>
    <t>სხვადასხვა სახის მოწყობილობები</t>
  </si>
  <si>
    <t>დეზობარიერი</t>
  </si>
  <si>
    <t>ელემენტები</t>
  </si>
  <si>
    <t>დისპენსერები</t>
  </si>
  <si>
    <t>კონსოლიდირებული შესყიდვა</t>
  </si>
  <si>
    <t>სადეზინფექციო ხსნარი</t>
  </si>
  <si>
    <t>2016-2020</t>
  </si>
  <si>
    <t>I კვარტალი 2016 წ.</t>
  </si>
  <si>
    <t>სატრანსპორტო საშუალებების რეგისტრაცია</t>
  </si>
  <si>
    <t>მომსახურება ურბანული დაგეგმარებისა და ლანდშაფტური არქიტექტურის სფეროში</t>
  </si>
  <si>
    <t>ქალაქ ბათუმის მუნიციპალიტეტის
სივრცითი განვითარებისა და განაშენიანების მართვის დოკუმენტაციის შემუშავება</t>
  </si>
  <si>
    <t>ქ. ბათუმის მუნიციპალიტეტის სივრცითი განციტარებისა და განაშენიანების მართვის დოკუმენტის შედგენა</t>
  </si>
  <si>
    <t>IV კვარტალი 2020 წ.</t>
  </si>
  <si>
    <t>მერიის სისტემაში ვირტუალური ქოლ ცენტრის მომსახურება</t>
  </si>
  <si>
    <t>IV კვარტალი 2021 წ.</t>
  </si>
  <si>
    <t>I კვარტალი 2021 წ.</t>
  </si>
  <si>
    <t>II კვარტალი 2021 წ.</t>
  </si>
  <si>
    <t>III კვარტალი 2021 წ.</t>
  </si>
  <si>
    <t xml:space="preserve">„შენი იდეა ბათუმს" ფარგლებში გამარჯვებული პროექტის „ქუჩის ხელოვნების მოძრაობა ბაფიტი / street art movement BAFFITI" განხორციელება </t>
  </si>
  <si>
    <t>შენი იდეა ბათუმს" ფარგლებში გამარჯვებული პროექტის  „ბათუმის ინკლუზიური თეატრალური დასი" განხორციელება</t>
  </si>
  <si>
    <t>„შენი იდეა ბათუმს" ფარგლებში გამარჯვებული პროექტის „ფერადი ეზოები ბავშვებს" განხორციელება</t>
  </si>
  <si>
    <t>„შენი იდეა ბათუმს" ფარგლებში გამარჯვებული პროექტის „ბათუმის ღია თეატრალური ფესტივალის" განხორციელება</t>
  </si>
  <si>
    <t>საფოსტო და საკურიერო მომსახურება</t>
  </si>
  <si>
    <t>საფოსტო, საკურიერო მომსახურება და საფელდეგერო მომსახურება</t>
  </si>
  <si>
    <t>ფარმაცევტული პროდუქტები</t>
  </si>
  <si>
    <t>,,სახელმწიფო შეს¬ყი¬დვების შესახებ” საქართველოს კანო¬ნის მე-9 მუხლის მე-31 პუნქტის „ა” ქვეპუნქტი</t>
  </si>
  <si>
    <t>საპროექტო-სახარჯთაღრიცხვო დოკუმენტაციის შედგენის მომსახურება</t>
  </si>
  <si>
    <t>2020-2022</t>
  </si>
  <si>
    <t>სოფლის მეურნეობისა და ბაღჩეული პროდუქტები</t>
  </si>
  <si>
    <t>წვევამდელების ტრანსპორტირება</t>
  </si>
  <si>
    <t>დაემატა ახალი შესყიდვა</t>
  </si>
  <si>
    <t>პასპორტიზაცია (საკადასტრო კვლევა, ტოპოგრაფიული მომსახურებები)</t>
  </si>
  <si>
    <t>გაიზარდა 37680 ლარით</t>
  </si>
  <si>
    <t>გაიზარდა 9290 ლარით</t>
  </si>
  <si>
    <t>ქ. ბათუმის მერიისა და საკრებულოს ვებ გვერდების ჰოსტინგი და ინტერნეტდომენური სახელი</t>
  </si>
  <si>
    <t>გაიზარდა 5820 ლარით</t>
  </si>
  <si>
    <t>შემცირდა 7800 ლარით</t>
  </si>
  <si>
    <t>მძიმე ფსიქიკური აშლილობის მქონე პირთათვის თემზე დაფუძნებული მობილური გუნდის მომსახურება</t>
  </si>
  <si>
    <t>ბეჭდის დამზადება</t>
  </si>
  <si>
    <t>მე-9 მუხლ. მე-3(1) პუნქტი ”ა” ქვეპ..</t>
  </si>
  <si>
    <t>სამედიცინო პირბადეები ქ. ბათუმის მუნიციპალიტეტის მერიის თანამშრომლებისთვის</t>
  </si>
  <si>
    <t>სხვადასხვა ქარხნული წარმოების მასალა და მათთან დაკავშირებული საგნები</t>
  </si>
  <si>
    <t>სანტექნიკური მოწყობილობების შეძენა</t>
  </si>
  <si>
    <t>ბაზრის კვლევა და ეკონომიკური კვლევა; გამოკითხვები და სტატისტიკა</t>
  </si>
  <si>
    <t>02 04 01</t>
  </si>
  <si>
    <t xml:space="preserve">02 04 </t>
  </si>
  <si>
    <t>შემცირდა 578 ლარით</t>
  </si>
  <si>
    <t>10(1) მუხლის მე-3 პუნქტის ,,ბ“ ქვეპუნქტი</t>
  </si>
  <si>
    <t>უკონტაქტო ელექტრო თერმომეტრების შეძენა</t>
  </si>
  <si>
    <t xml:space="preserve">ბენეფიაციართათვის ხელმისაწვდომი საცხოვრისის პროგრამის ფარგლებში საცხოვრებელი ბინების გადაცემის მიზნით აპლიკანტი ოჯახების სოციალურ-ეკონომიკური მდგომარეობის შესწავლა </t>
  </si>
  <si>
    <r>
      <t xml:space="preserve">5. </t>
    </r>
    <r>
      <rPr>
        <sz val="11"/>
        <rFont val="Sylfaen"/>
        <family val="1"/>
      </rPr>
      <t>2021 წელს</t>
    </r>
    <r>
      <rPr>
        <sz val="11"/>
        <rFont val="Sylfaen"/>
        <family val="1"/>
        <charset val="204"/>
      </rPr>
      <t xml:space="preserve"> სახელმწიფო შესყიდვების გეგმით გათვალისწინებული
ჯამური თანხა დაფინანსების წყაროს შესაბამისად:</t>
    </r>
  </si>
  <si>
    <t>N128 N130</t>
  </si>
  <si>
    <t>სს „სილქნეტი“ შპს „TV_ERA“</t>
  </si>
  <si>
    <t>N131</t>
  </si>
  <si>
    <t>ს.ს. სილქნეტი</t>
  </si>
  <si>
    <t>შპს „TV_ERA“</t>
  </si>
  <si>
    <t>N132</t>
  </si>
  <si>
    <t>N134</t>
  </si>
  <si>
    <t>ინდ. მეწარმე „ბადრი გორაძე“</t>
  </si>
  <si>
    <t>საჯარო სამართლის იურიდიული პირი - “სახელისუფლებო სპეციალური კავშირგაბმულობის სააგენტო“</t>
  </si>
  <si>
    <t>N137</t>
  </si>
  <si>
    <t>N138</t>
  </si>
  <si>
    <t>N140</t>
  </si>
  <si>
    <t>შინაგან საქმეთა სამინისტროს საჯარო სამართლის იურიდიული პირი - დაცვის პოლიციის დეპარტამენტის აჭარის დაცვის პო¬ლიციის სამმართველო</t>
  </si>
  <si>
    <t>N141</t>
  </si>
  <si>
    <t>სს ,,სილქნეტი’’</t>
  </si>
  <si>
    <t>N144</t>
  </si>
  <si>
    <t>N146</t>
  </si>
  <si>
    <t>შპს რომპეტროლ საქართველო</t>
  </si>
  <si>
    <t>N147 N148</t>
  </si>
  <si>
    <t>N149</t>
  </si>
  <si>
    <t>შპს ,,CEBEP’’</t>
  </si>
  <si>
    <t>N150</t>
  </si>
  <si>
    <t>შპს „საინფორმაციო კომუნიკაციების სისტემები“</t>
  </si>
  <si>
    <t>N151</t>
  </si>
  <si>
    <t>სს სადაზღვევო კომპანია უნისონი"</t>
  </si>
  <si>
    <t>N145</t>
  </si>
  <si>
    <t>N153</t>
  </si>
  <si>
    <t>N152</t>
  </si>
  <si>
    <t>N154</t>
  </si>
  <si>
    <t>შპს. `I GPS ოპრატორი</t>
  </si>
  <si>
    <t>შპს "სანდასუფთავება"</t>
  </si>
  <si>
    <t>N155</t>
  </si>
  <si>
    <t>N156</t>
  </si>
  <si>
    <t>N157</t>
  </si>
  <si>
    <t>შპს ,,სისუფთავის სერვისი“</t>
  </si>
  <si>
    <t>N158</t>
  </si>
  <si>
    <t>შპს „ბათუმის სამედიცინო ცენტრი“</t>
  </si>
  <si>
    <t>N1</t>
  </si>
  <si>
    <t>შპს ,,ჯეონეთი’’</t>
  </si>
  <si>
    <t>N2</t>
  </si>
  <si>
    <t>N3</t>
  </si>
  <si>
    <t>შპს „პსპ ფარმა</t>
  </si>
  <si>
    <t>შ.პ.ს ,,პროსერვისი“</t>
  </si>
  <si>
    <t>N4</t>
  </si>
  <si>
    <t>N5</t>
  </si>
  <si>
    <t>აიპ „სთეფ ფორვარდი“</t>
  </si>
  <si>
    <t>შპს ,,სტომა დენტი’’</t>
  </si>
  <si>
    <t>N6</t>
  </si>
  <si>
    <t>N7</t>
  </si>
  <si>
    <t>სსიპ ,,ლაბორატორიული კვლევითი ცენტრი’’</t>
  </si>
  <si>
    <t>N8</t>
  </si>
  <si>
    <t>შპს ,,დელტა კონსალტინგი’’</t>
  </si>
  <si>
    <t>N9</t>
  </si>
  <si>
    <t>ა(ა)იპ „სთეფ ფორვარდი“</t>
  </si>
  <si>
    <t>N10</t>
  </si>
  <si>
    <t>N11</t>
  </si>
  <si>
    <t>N12</t>
  </si>
  <si>
    <t>შპს ,,ნიუორკერ 2020“</t>
  </si>
  <si>
    <t>შ.პ.ს. ,,საოჯახო მედიცინის რეგიონული ცენტრი"</t>
  </si>
  <si>
    <t>N13</t>
  </si>
  <si>
    <t>სს ,,გეფა</t>
  </si>
  <si>
    <t>N14</t>
  </si>
  <si>
    <t>შპს ,,ავერსი-ფარმა’’</t>
  </si>
  <si>
    <t>N16</t>
  </si>
  <si>
    <t>ა2</t>
  </si>
  <si>
    <t>შპს ,,თეგეტა მოტორსი"</t>
  </si>
  <si>
    <t>N17</t>
  </si>
  <si>
    <t>N18</t>
  </si>
  <si>
    <t>შპს ,,თეგეტა მოტორსი”</t>
  </si>
  <si>
    <t>N19</t>
  </si>
  <si>
    <t>ინდივიდუალური მეწარმე ,,შალვა თავდგირიძე“</t>
  </si>
  <si>
    <t>N20</t>
  </si>
  <si>
    <t>სსიპ ,,ტექნიკური და სამშენებლო ლაბორატორია“</t>
  </si>
  <si>
    <t>N21</t>
  </si>
  <si>
    <t>შპს ,,კომპუს ბათუმი’’</t>
  </si>
  <si>
    <t>N22</t>
  </si>
  <si>
    <t>შპს ,,ვინდლაიფ’’</t>
  </si>
  <si>
    <t>N23</t>
  </si>
  <si>
    <t>შპს ,,კომპანია GEOSM’’</t>
  </si>
  <si>
    <t>N24</t>
  </si>
  <si>
    <t>შპს ,,გეპა“</t>
  </si>
  <si>
    <t>N25</t>
  </si>
  <si>
    <t>შპს ,,იზი გრუპი’’</t>
  </si>
  <si>
    <t>N26</t>
  </si>
  <si>
    <t>შპს ,,გენამო“</t>
  </si>
  <si>
    <t>N27</t>
  </si>
  <si>
    <t>შპს „ბათუმის ავტოტრანსპორტი“</t>
  </si>
  <si>
    <t>N28</t>
  </si>
  <si>
    <t>შპს „დავით 2014“</t>
  </si>
  <si>
    <t>N29</t>
  </si>
  <si>
    <t xml:space="preserve">შპს ,,რინ აუტო’’ </t>
  </si>
  <si>
    <t>N30</t>
  </si>
  <si>
    <t>შპს „პენსან ჯორჯია“</t>
  </si>
  <si>
    <t>შპს ,,ნიუორკერ 2020’’</t>
  </si>
  <si>
    <t>N32</t>
  </si>
  <si>
    <t>შპს“ტაურუს+</t>
  </si>
  <si>
    <t>N33</t>
  </si>
  <si>
    <t>N34</t>
  </si>
  <si>
    <t>შპს "აჭარინვესტი"</t>
  </si>
  <si>
    <t>შპს ,,ბაო’’</t>
  </si>
  <si>
    <t>N35</t>
  </si>
  <si>
    <t>ინდივიდუალუირ მეწარმე ,,შალვა თავდგირიძე’’</t>
  </si>
  <si>
    <t>N36</t>
  </si>
  <si>
    <t xml:space="preserve">შპს ,,ეკონათება’’ </t>
  </si>
  <si>
    <t>N37</t>
  </si>
  <si>
    <t>შპს ,,აიდიეს ბორჯომი თბილისი’’</t>
  </si>
  <si>
    <t>N38</t>
  </si>
  <si>
    <t>თანხა 2022</t>
  </si>
  <si>
    <t>მე-3 მუხ. 1-ლი პუნქ. "" ქვეპუნ.</t>
  </si>
  <si>
    <t xml:space="preserve">საკრებულო - აპარატი </t>
  </si>
  <si>
    <t>ეკონომიკური-პოლიტიკა</t>
  </si>
  <si>
    <t>ტელეფონის აპარატი</t>
  </si>
  <si>
    <t>შეიცვალა შესყიდვის საშუალება</t>
  </si>
  <si>
    <t>ოფისის მუშაობის უზრუნველყოფასთან დაკავშირებული მომსახურებები</t>
  </si>
  <si>
    <t>მთარგმნელობითი მომსახურება</t>
  </si>
  <si>
    <t>სატრენინგო მომსახურებები</t>
  </si>
  <si>
    <t>სმენადაქვეითებულ ბავშვთა (18 წლამდე) ოჯახის წევრებისათვის ქართული ჟესტური ენის სწავლება</t>
  </si>
  <si>
    <t>გაიზარდა 1800 ლარით</t>
  </si>
  <si>
    <t>საფელდეგერო მომსახურება</t>
  </si>
  <si>
    <t>შპს ,,აიდიეს ბორჯომი თბილისი“</t>
  </si>
  <si>
    <t>N39</t>
  </si>
  <si>
    <t>შპს ,,აქვაგეო’’</t>
  </si>
  <si>
    <t>N40</t>
  </si>
  <si>
    <t>N41</t>
  </si>
  <si>
    <t>N42</t>
  </si>
  <si>
    <t>(ააიპ) ,,საქართველოს ახალგაზრდა ეკონომისტთა ასოციაცია’’</t>
  </si>
  <si>
    <t>N43</t>
  </si>
  <si>
    <t>შპს ,,ეკონათება’’</t>
  </si>
  <si>
    <t>N44</t>
  </si>
  <si>
    <t>შპს ,,აბსოლუტი 2010“</t>
  </si>
  <si>
    <t>N48</t>
  </si>
  <si>
    <t>შპს ,,თეგეტა მოტორსი“ შპს ,,ამბოლი"</t>
  </si>
  <si>
    <t>შპს ,,ამბოლი’’</t>
  </si>
  <si>
    <t>N50</t>
  </si>
  <si>
    <t>N52</t>
  </si>
  <si>
    <t>შპს "გრინტივი"</t>
  </si>
  <si>
    <t>N53</t>
  </si>
  <si>
    <t>ფ.პ. ნინო აროშიძე</t>
  </si>
  <si>
    <t>N54</t>
  </si>
  <si>
    <t>შპს" აბსოლუტი 2010"</t>
  </si>
  <si>
    <t>N46</t>
  </si>
  <si>
    <t>N56</t>
  </si>
  <si>
    <t>N57</t>
  </si>
  <si>
    <t>ა(ა)იპ „აჭარის ინტელექტ კლუბი“</t>
  </si>
  <si>
    <t>N58</t>
  </si>
  <si>
    <t>შპს მეღვინეობა გრანელი’</t>
  </si>
  <si>
    <t>სატრანსპორტო მომსახურება (საკრებულო)</t>
  </si>
  <si>
    <t xml:space="preserve">სატრანსპორტო მომსახურება </t>
  </si>
  <si>
    <t>პერსონალური ასისტენტების გადამზადება (ტრენინგი)</t>
  </si>
  <si>
    <t xml:space="preserve">სატრანსპორტო საშუალებების ტექნიკური ინსპექტირება </t>
  </si>
  <si>
    <t>გამაგრილებელი და სავენტილაციო მოწყობილობები</t>
  </si>
  <si>
    <t>კონდიციონერები</t>
  </si>
  <si>
    <t>ჩარხები</t>
  </si>
  <si>
    <t>ელექტრომექანიკური ხელსაწყო (დრელი)</t>
  </si>
  <si>
    <t>გაიზარდა 8000 ლარით</t>
  </si>
  <si>
    <t>შემცირდა 8000 ლარით</t>
  </si>
  <si>
    <t>შემცირდა 166 ლარით</t>
  </si>
  <si>
    <t>შემცირდა 1800 ლარით</t>
  </si>
  <si>
    <t>შემცირდა 165404 ლარით</t>
  </si>
  <si>
    <t>შემცირდა 3368 ლარით</t>
  </si>
  <si>
    <t>შემცირდა 31750 ლარით</t>
  </si>
  <si>
    <t>შემცირდა 41070  ლარით</t>
  </si>
  <si>
    <t>შემცირდა 5315 ლარით</t>
  </si>
  <si>
    <t>შემცირდა 65 ლარით</t>
  </si>
  <si>
    <t>შემცირდა 1112 ლარით</t>
  </si>
  <si>
    <t>შემცირდა 1159 ლარით</t>
  </si>
  <si>
    <t>შემცირდა 5122 ლარით</t>
  </si>
  <si>
    <t>შემცირდა 2990 ლარით</t>
  </si>
  <si>
    <t>შემცირდა 1775 ლარით</t>
  </si>
  <si>
    <t>შემცირდა 344 ლარით</t>
  </si>
  <si>
    <t>შემცირდა 900 ლარით</t>
  </si>
  <si>
    <t>შემცირდა 21500 ლარით</t>
  </si>
  <si>
    <t>შემცირდა 168 ლარით</t>
  </si>
  <si>
    <t>შემცირდა 26 ლარით</t>
  </si>
  <si>
    <t>შემცირდა 1603 ლარით</t>
  </si>
  <si>
    <t>„შენი იდეა ბათუმს" ფარგლებში გამარჯვებული პროექტის „კინომობილის" განხორციელება</t>
  </si>
  <si>
    <t>ტელე და რადიოსიგნალის მიმღები, აუდიო და ვიდეო გამოსახულების ჩამწერი და აღწარმოების აპარატურა</t>
  </si>
  <si>
    <t xml:space="preserve">დაემატა ახალი შესყიდვა </t>
  </si>
  <si>
    <t>გაიზარდა 5920 ლარით</t>
  </si>
  <si>
    <t>შენობის დასრულების სამუშაოები</t>
  </si>
  <si>
    <t>მერიის ადმინისტრაციული შენობის (ლ. ასათიანის ქ. #25) სარემონტო სამუშაოები (საკრებულოს სხდომათა დარბაზში დაზიანებული ჭერის აღდგენა)</t>
  </si>
  <si>
    <t>N15, N60</t>
  </si>
  <si>
    <t>N61</t>
  </si>
  <si>
    <t>შპს „გაზეთი აჭარა და ადჟარია“</t>
  </si>
  <si>
    <t>N62</t>
  </si>
  <si>
    <t xml:space="preserve">შპს „საქართველოს ფოსტა“ </t>
  </si>
  <si>
    <t>N63 N64</t>
  </si>
  <si>
    <t>შპს ,,თეგეტა მოტორსი“</t>
  </si>
  <si>
    <t>N65</t>
  </si>
  <si>
    <t>N66</t>
  </si>
  <si>
    <t>N67</t>
  </si>
  <si>
    <t>ფიზიკური პირი შოთა ლაკლაკიშვილი</t>
  </si>
  <si>
    <t>N68</t>
  </si>
  <si>
    <t>შპს ,,ელვა.ჯი“</t>
  </si>
  <si>
    <t>N55, N69 N81</t>
  </si>
  <si>
    <t>N70</t>
  </si>
  <si>
    <t>ინდივიდუალური მეწარმე ,,გოგიტა პაქსაძე’’</t>
  </si>
  <si>
    <t>N71</t>
  </si>
  <si>
    <t>შპს „იუ-ჯი-თი“</t>
  </si>
  <si>
    <t>N45 N72</t>
  </si>
  <si>
    <t>N73</t>
  </si>
  <si>
    <t>ი.მ. რამაზ ქათამაძე</t>
  </si>
  <si>
    <t>N74</t>
  </si>
  <si>
    <t>N49, N51 N75 N76 N77</t>
  </si>
  <si>
    <t>N78</t>
  </si>
  <si>
    <t>შპს „ეტალონი-მედია“</t>
  </si>
  <si>
    <t>N31 N79</t>
  </si>
  <si>
    <t>N80</t>
  </si>
  <si>
    <t>შპს „რომა-მოტორსი”</t>
  </si>
  <si>
    <t>N82</t>
  </si>
  <si>
    <t>შპს „ეკონათება“</t>
  </si>
  <si>
    <t>N83</t>
  </si>
  <si>
    <t>ანიკა</t>
  </si>
  <si>
    <t>N84</t>
  </si>
  <si>
    <t>N85</t>
  </si>
  <si>
    <t>შპს ,,გენ ელექტრიკ’’</t>
  </si>
  <si>
    <t>N86</t>
  </si>
  <si>
    <t>N47 N87</t>
  </si>
  <si>
    <t>N88</t>
  </si>
  <si>
    <t>აიპ ,,სითი ინსტიტუტი საქართველო"</t>
  </si>
  <si>
    <t>N89</t>
  </si>
  <si>
    <t>ა(ა)იპ ,,საერთაშორისო ორგანიზაცია ხელოვნება საზოგადოებისთვის’</t>
  </si>
  <si>
    <t>N91</t>
  </si>
  <si>
    <t>N59 N90</t>
  </si>
  <si>
    <t>ქსელების, ინტერნეტისა და ინტრანეტის პროგრამული პაკეტები</t>
  </si>
  <si>
    <t>კრიპტოგრაფიული უსაფრთხოების Wildcard (SSL) სერტიფიკატის შესყიდვა</t>
  </si>
  <si>
    <t>III კვარტალი 2020 წ.</t>
  </si>
  <si>
    <t xml:space="preserve"> 1. შედგენის თარიღი:
  20 სექტემბერი 2021 წ.</t>
  </si>
  <si>
    <t xml:space="preserve">ქ. ბათუმის მუნიციპალიტეტის მერიის 2021 წლის შესყიდვების გეგმა მე3 კვარტლის მდგომარეობით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</si>
</sst>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_₾_-;\-* #,##0.00_₾_-;_-* &quot;-&quot;??_₾_-;_-@_-"/>
    <numFmt numFmtId="165" formatCode="_-* #,##0.00\ _L_a_r_i_-;\-* #,##0.00\ _L_a_r_i_-;_-* &quot;-&quot;??\ _L_a_r_i_-;_-@_-"/>
    <numFmt numFmtId="166" formatCode="_-* #,##0.00_ _-;\-* #,##0.00_ _-;_-* &quot;-&quot;??_ _-;_-@_-"/>
    <numFmt numFmtId="167" formatCode="_-* #,##0.00_р_._-;\-* #,##0.00_р_._-;_-* &quot;-&quot;??_р_._-;_-@_-"/>
    <numFmt numFmtId="168" formatCode="#,##0.00_ ;[Red]\-#,##0.00&quot; &quot;"/>
    <numFmt numFmtId="169" formatCode="0.0%"/>
    <numFmt numFmtId="170" formatCode="0.000"/>
    <numFmt numFmtId="171" formatCode="_-* #,##0\ _L_._-;\-* #,##0\ _L_._-;_-* &quot;-&quot;\ _L_._-;_-@_-"/>
    <numFmt numFmtId="172" formatCode="_-* #,##0.00\ _L_._-;\-* #,##0.00\ _L_._-;_-* &quot;-&quot;??\ _L_._-;_-@_-"/>
    <numFmt numFmtId="173" formatCode="_ * #,##0_)\ _L_ ;_ * \(#,##0\)\ _L_ ;_ * &quot;-&quot;_)\ _L_ ;_ @_ "/>
    <numFmt numFmtId="174" formatCode="_ * #,##0.00_)\ _L_ ;_ * \(#,##0.00\)\ _L_ ;_ * &quot;-&quot;??_)\ _L_ ;_ @_ "/>
    <numFmt numFmtId="175" formatCode="0.00_ ;[Red]\-0.00&quot; &quot;"/>
    <numFmt numFmtId="176" formatCode="#,##0_ ;[Red]\-#,##0&quot; &quot;"/>
    <numFmt numFmtId="177" formatCode="#,##0.00_ ;[Red]\-#,##0.00\ 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Cambria"/>
      <family val="1"/>
      <charset val="204"/>
      <scheme val="major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Sylfaen"/>
      <family val="1"/>
    </font>
    <font>
      <sz val="11"/>
      <name val="Sylfaen"/>
      <family val="1"/>
    </font>
    <font>
      <b/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8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10"/>
      <name val="Literaturuly"/>
      <family val="2"/>
    </font>
    <font>
      <sz val="1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rgb="FFFF0000"/>
      <name val="Sylfaen"/>
      <family val="1"/>
      <charset val="204"/>
    </font>
    <font>
      <sz val="10"/>
      <color rgb="FF0000CC"/>
      <name val="Cambria"/>
      <family val="1"/>
      <scheme val="major"/>
    </font>
    <font>
      <sz val="8.5"/>
      <name val="Sylfaen"/>
      <family val="1"/>
      <charset val="204"/>
    </font>
    <font>
      <sz val="7.5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0"/>
      <color rgb="FF0000FF"/>
      <name val="Cambria"/>
      <family val="1"/>
      <scheme val="major"/>
    </font>
    <font>
      <sz val="10"/>
      <color rgb="FF0000FF"/>
      <name val="Cambria"/>
      <family val="1"/>
      <scheme val="major"/>
    </font>
    <font>
      <sz val="10"/>
      <color rgb="FF0000FF"/>
      <name val="Sylfaen"/>
      <family val="1"/>
    </font>
    <font>
      <sz val="10"/>
      <name val="Arial Cyr"/>
      <charset val="1"/>
    </font>
    <font>
      <b/>
      <u/>
      <sz val="11"/>
      <color theme="0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rgb="FFFF0000"/>
      <name val="Sylfaen"/>
      <family val="1"/>
    </font>
    <font>
      <sz val="8"/>
      <color rgb="FFFF0000"/>
      <name val="Cambria"/>
      <family val="1"/>
      <charset val="204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CC"/>
      <name val="Calibri"/>
      <family val="2"/>
      <scheme val="minor"/>
    </font>
    <font>
      <sz val="10"/>
      <color rgb="FF0000CC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0" tint="-0.34998626667073579"/>
      <name val="Sylfaen"/>
      <family val="1"/>
    </font>
    <font>
      <sz val="10"/>
      <color theme="0" tint="-0.34998626667073579"/>
      <name val="Sylfaen"/>
      <family val="1"/>
      <charset val="204"/>
    </font>
    <font>
      <sz val="10"/>
      <color theme="0" tint="-0.34998626667073579"/>
      <name val="Cambria"/>
      <family val="1"/>
      <charset val="204"/>
      <scheme val="major"/>
    </font>
    <font>
      <sz val="8"/>
      <color theme="0" tint="-0.34998626667073579"/>
      <name val="Cambria"/>
      <family val="1"/>
      <charset val="204"/>
      <scheme val="major"/>
    </font>
    <font>
      <sz val="9"/>
      <color theme="0" tint="-0.34998626667073579"/>
      <name val="Sylfaen"/>
      <family val="1"/>
      <charset val="204"/>
    </font>
    <font>
      <sz val="11"/>
      <color theme="0" tint="-0.34998626667073579"/>
      <name val="Cambria"/>
      <family val="1"/>
      <charset val="204"/>
      <scheme val="major"/>
    </font>
    <font>
      <b/>
      <sz val="11"/>
      <color theme="0" tint="-0.34998626667073579"/>
      <name val="Sylfaen"/>
      <family val="1"/>
      <charset val="204"/>
    </font>
    <font>
      <sz val="11"/>
      <color theme="0" tint="-0.34998626667073579"/>
      <name val="Sylfaen"/>
      <family val="1"/>
      <charset val="204"/>
    </font>
    <font>
      <sz val="11"/>
      <color theme="0" tint="-0.34998626667073579"/>
      <name val="Sylfaen"/>
      <family val="1"/>
    </font>
    <font>
      <b/>
      <sz val="11"/>
      <color theme="0" tint="-0.34998626667073579"/>
      <name val="Cambria"/>
      <family val="1"/>
      <charset val="204"/>
      <scheme val="major"/>
    </font>
    <font>
      <b/>
      <sz val="8"/>
      <color theme="0" tint="-0.34998626667073579"/>
      <name val="Cambria"/>
      <family val="1"/>
      <charset val="204"/>
      <scheme val="major"/>
    </font>
    <font>
      <b/>
      <sz val="10"/>
      <color theme="0" tint="-0.34998626667073579"/>
      <name val="Cambria"/>
      <family val="1"/>
      <scheme val="major"/>
    </font>
    <font>
      <b/>
      <sz val="9"/>
      <color theme="0" tint="-0.34998626667073579"/>
      <name val="Sylfaen"/>
      <family val="1"/>
    </font>
    <font>
      <b/>
      <sz val="11"/>
      <color theme="0" tint="-0.34998626667073579"/>
      <name val="Sylfaen"/>
      <family val="1"/>
    </font>
    <font>
      <b/>
      <sz val="9"/>
      <color theme="0" tint="-0.34998626667073579"/>
      <name val="Sylfaen"/>
      <family val="1"/>
      <charset val="204"/>
    </font>
    <font>
      <sz val="9"/>
      <color theme="0" tint="-0.34998626667073579"/>
      <name val="Sylfaen"/>
      <family val="1"/>
    </font>
    <font>
      <b/>
      <sz val="8"/>
      <color theme="0" tint="-0.34998626667073579"/>
      <name val="Sylfaen"/>
      <family val="1"/>
    </font>
    <font>
      <sz val="8"/>
      <color theme="0" tint="-0.34998626667073579"/>
      <name val="Sylfaen"/>
      <family val="1"/>
    </font>
    <font>
      <sz val="8"/>
      <color theme="0" tint="-0.34998626667073579"/>
      <name val="Sylfaen"/>
      <family val="1"/>
      <charset val="204"/>
    </font>
    <font>
      <sz val="5"/>
      <color theme="0" tint="-0.34998626667073579"/>
      <name val="Sylfaen"/>
      <family val="1"/>
    </font>
    <font>
      <b/>
      <sz val="8"/>
      <color theme="0" tint="-0.34998626667073579"/>
      <name val="Sylfae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18">
    <xf numFmtId="0" fontId="0" fillId="0" borderId="0"/>
    <xf numFmtId="9" fontId="1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9" fillId="0" borderId="13">
      <alignment horizontal="center" vertical="center"/>
    </xf>
    <xf numFmtId="0" fontId="18" fillId="0" borderId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5" fillId="0" borderId="0"/>
    <xf numFmtId="0" fontId="24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66" fontId="27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4" applyNumberFormat="0" applyAlignment="0" applyProtection="0"/>
    <xf numFmtId="0" fontId="30" fillId="23" borderId="15" applyNumberFormat="0" applyAlignment="0" applyProtection="0"/>
    <xf numFmtId="0" fontId="31" fillId="23" borderId="14" applyNumberFormat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24" borderId="20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6" borderId="21" applyNumberFormat="0" applyFont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6" borderId="21" applyNumberFormat="0" applyFont="0" applyAlignment="0" applyProtection="0"/>
    <xf numFmtId="164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2" fillId="0" borderId="0"/>
    <xf numFmtId="164" fontId="11" fillId="0" borderId="0" applyFont="0" applyFill="0" applyBorder="0" applyAlignment="0" applyProtection="0"/>
  </cellStyleXfs>
  <cellXfs count="34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12" xfId="0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0" fillId="0" borderId="12" xfId="0" applyBorder="1"/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49" fontId="10" fillId="4" borderId="23" xfId="0" applyNumberFormat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9" fontId="50" fillId="0" borderId="23" xfId="0" applyNumberFormat="1" applyFont="1" applyFill="1" applyBorder="1" applyAlignment="1">
      <alignment horizontal="center" vertical="center"/>
    </xf>
    <xf numFmtId="0" fontId="51" fillId="0" borderId="24" xfId="12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3" fillId="0" borderId="4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right" vertical="center" wrapText="1"/>
    </xf>
    <xf numFmtId="49" fontId="20" fillId="29" borderId="23" xfId="0" applyNumberFormat="1" applyFont="1" applyFill="1" applyBorder="1" applyAlignment="1">
      <alignment horizontal="center" vertical="center"/>
    </xf>
    <xf numFmtId="0" fontId="20" fillId="29" borderId="24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44" fillId="0" borderId="1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4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right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28" borderId="0" xfId="0" applyFont="1" applyFill="1" applyAlignment="1">
      <alignment vertical="center" wrapText="1"/>
    </xf>
    <xf numFmtId="49" fontId="10" fillId="30" borderId="23" xfId="0" applyNumberFormat="1" applyFont="1" applyFill="1" applyBorder="1" applyAlignment="1">
      <alignment horizontal="center" vertical="center"/>
    </xf>
    <xf numFmtId="0" fontId="10" fillId="30" borderId="24" xfId="0" applyFont="1" applyFill="1" applyBorder="1" applyAlignment="1">
      <alignment vertical="center" wrapText="1"/>
    </xf>
    <xf numFmtId="49" fontId="10" fillId="29" borderId="23" xfId="0" applyNumberFormat="1" applyFont="1" applyFill="1" applyBorder="1" applyAlignment="1">
      <alignment horizontal="center" vertical="center"/>
    </xf>
    <xf numFmtId="0" fontId="10" fillId="29" borderId="24" xfId="0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6" fillId="0" borderId="6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7" xfId="0" quotePrefix="1" applyNumberFormat="1" applyFont="1" applyFill="1" applyBorder="1" applyAlignment="1">
      <alignment horizontal="center" vertical="center" wrapText="1"/>
    </xf>
    <xf numFmtId="0" fontId="2" fillId="0" borderId="6" xfId="0" quotePrefix="1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49" fontId="2" fillId="0" borderId="5" xfId="0" quotePrefix="1" applyNumberFormat="1" applyFont="1" applyFill="1" applyBorder="1" applyAlignment="1">
      <alignment horizontal="center" vertical="center" wrapText="1"/>
    </xf>
    <xf numFmtId="49" fontId="2" fillId="0" borderId="6" xfId="0" quotePrefix="1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46" fillId="0" borderId="5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4" fontId="7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left" vertical="center" wrapText="1" indent="4"/>
    </xf>
    <xf numFmtId="0" fontId="6" fillId="0" borderId="2" xfId="0" applyFont="1" applyFill="1" applyBorder="1" applyAlignment="1">
      <alignment horizontal="left" vertical="center" wrapText="1" indent="4"/>
    </xf>
    <xf numFmtId="0" fontId="6" fillId="0" borderId="3" xfId="0" applyFont="1" applyFill="1" applyBorder="1" applyAlignment="1">
      <alignment horizontal="left" vertical="center" wrapText="1" indent="4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46" fillId="0" borderId="5" xfId="0" applyFont="1" applyFill="1" applyBorder="1" applyAlignment="1">
      <alignment horizontal="left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vertical="center" wrapText="1"/>
    </xf>
    <xf numFmtId="177" fontId="63" fillId="0" borderId="0" xfId="117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NumberFormat="1" applyFont="1" applyFill="1" applyAlignment="1">
      <alignment horizontal="center" vertical="center" wrapText="1"/>
    </xf>
    <xf numFmtId="168" fontId="64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left" vertical="center" wrapText="1"/>
    </xf>
    <xf numFmtId="175" fontId="67" fillId="0" borderId="0" xfId="0" applyNumberFormat="1" applyFont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65" fillId="0" borderId="0" xfId="0" applyFont="1" applyFill="1" applyAlignment="1">
      <alignment vertical="center" wrapText="1"/>
    </xf>
    <xf numFmtId="170" fontId="69" fillId="0" borderId="0" xfId="0" applyNumberFormat="1" applyFont="1" applyFill="1" applyAlignment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4" fontId="71" fillId="0" borderId="0" xfId="0" applyNumberFormat="1" applyFont="1" applyFill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4" fontId="72" fillId="0" borderId="0" xfId="0" applyNumberFormat="1" applyFont="1" applyFill="1" applyAlignment="1">
      <alignment horizontal="center" vertical="center" wrapText="1"/>
    </xf>
    <xf numFmtId="177" fontId="63" fillId="3" borderId="1" xfId="117" applyNumberFormat="1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vertical="center" wrapText="1"/>
    </xf>
    <xf numFmtId="3" fontId="74" fillId="3" borderId="0" xfId="0" applyNumberFormat="1" applyFont="1" applyFill="1" applyAlignment="1">
      <alignment horizontal="center" vertical="center" wrapText="1"/>
    </xf>
    <xf numFmtId="0" fontId="68" fillId="3" borderId="0" xfId="0" applyFont="1" applyFill="1" applyAlignment="1">
      <alignment vertical="center" wrapText="1"/>
    </xf>
    <xf numFmtId="0" fontId="67" fillId="3" borderId="0" xfId="0" applyFont="1" applyFill="1" applyBorder="1" applyAlignment="1">
      <alignment horizontal="right" vertical="center" wrapText="1"/>
    </xf>
    <xf numFmtId="0" fontId="66" fillId="3" borderId="0" xfId="0" applyFont="1" applyFill="1" applyAlignment="1">
      <alignment vertical="center" wrapText="1"/>
    </xf>
    <xf numFmtId="4" fontId="67" fillId="3" borderId="0" xfId="0" applyNumberFormat="1" applyFont="1" applyFill="1" applyBorder="1" applyAlignment="1">
      <alignment horizontal="center" vertical="center" wrapText="1"/>
    </xf>
    <xf numFmtId="175" fontId="67" fillId="3" borderId="0" xfId="0" applyNumberFormat="1" applyFont="1" applyFill="1" applyBorder="1" applyAlignment="1">
      <alignment horizontal="right" vertical="center" wrapText="1"/>
    </xf>
    <xf numFmtId="169" fontId="75" fillId="3" borderId="0" xfId="1" applyNumberFormat="1" applyFont="1" applyFill="1" applyBorder="1" applyAlignment="1">
      <alignment horizontal="center" vertical="center" wrapText="1"/>
    </xf>
    <xf numFmtId="9" fontId="75" fillId="3" borderId="0" xfId="1" applyNumberFormat="1" applyFont="1" applyFill="1" applyBorder="1" applyAlignment="1">
      <alignment horizontal="center" vertical="center" wrapText="1"/>
    </xf>
    <xf numFmtId="177" fontId="64" fillId="3" borderId="1" xfId="117" applyNumberFormat="1" applyFont="1" applyFill="1" applyBorder="1" applyAlignment="1">
      <alignment horizontal="center" vertical="center" wrapText="1"/>
    </xf>
    <xf numFmtId="4" fontId="64" fillId="3" borderId="0" xfId="0" applyNumberFormat="1" applyFont="1" applyFill="1" applyAlignment="1">
      <alignment horizontal="center" vertical="center" wrapText="1"/>
    </xf>
    <xf numFmtId="0" fontId="76" fillId="3" borderId="0" xfId="0" applyFont="1" applyFill="1" applyBorder="1" applyAlignment="1">
      <alignment horizontal="left" vertical="center" wrapText="1"/>
    </xf>
    <xf numFmtId="0" fontId="71" fillId="3" borderId="0" xfId="0" applyNumberFormat="1" applyFont="1" applyFill="1" applyBorder="1" applyAlignment="1">
      <alignment horizontal="left" vertical="center" wrapText="1"/>
    </xf>
    <xf numFmtId="0" fontId="64" fillId="3" borderId="0" xfId="0" applyFont="1" applyFill="1" applyAlignment="1">
      <alignment vertical="center" wrapText="1"/>
    </xf>
    <xf numFmtId="0" fontId="65" fillId="3" borderId="0" xfId="0" applyFont="1" applyFill="1" applyAlignment="1">
      <alignment horizontal="center" vertical="center" wrapText="1"/>
    </xf>
    <xf numFmtId="0" fontId="66" fillId="3" borderId="0" xfId="0" applyFont="1" applyFill="1" applyAlignment="1">
      <alignment horizontal="center" vertical="center" wrapText="1"/>
    </xf>
    <xf numFmtId="177" fontId="77" fillId="3" borderId="1" xfId="117" applyNumberFormat="1" applyFont="1" applyFill="1" applyBorder="1" applyAlignment="1">
      <alignment horizontal="center" vertical="center" wrapText="1"/>
    </xf>
    <xf numFmtId="0" fontId="77" fillId="3" borderId="1" xfId="0" applyFont="1" applyFill="1" applyBorder="1" applyAlignment="1">
      <alignment horizontal="center" vertical="center" wrapText="1"/>
    </xf>
    <xf numFmtId="0" fontId="75" fillId="3" borderId="1" xfId="0" applyNumberFormat="1" applyFont="1" applyFill="1" applyBorder="1" applyAlignment="1">
      <alignment horizontal="center" vertical="center" wrapText="1"/>
    </xf>
    <xf numFmtId="0" fontId="75" fillId="3" borderId="1" xfId="0" applyFont="1" applyFill="1" applyBorder="1" applyAlignment="1">
      <alignment horizontal="center" vertical="center" wrapText="1"/>
    </xf>
    <xf numFmtId="0" fontId="75" fillId="3" borderId="2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/>
    </xf>
    <xf numFmtId="0" fontId="75" fillId="3" borderId="11" xfId="0" applyFont="1" applyFill="1" applyBorder="1" applyAlignment="1">
      <alignment horizontal="center" vertical="center"/>
    </xf>
    <xf numFmtId="175" fontId="68" fillId="3" borderId="0" xfId="0" applyNumberFormat="1" applyFont="1" applyFill="1" applyBorder="1" applyAlignment="1">
      <alignment vertical="center" wrapText="1"/>
    </xf>
    <xf numFmtId="0" fontId="78" fillId="3" borderId="1" xfId="0" applyFont="1" applyFill="1" applyBorder="1" applyAlignment="1">
      <alignment horizontal="center" vertical="center" wrapText="1"/>
    </xf>
    <xf numFmtId="0" fontId="78" fillId="3" borderId="1" xfId="0" applyNumberFormat="1" applyFont="1" applyFill="1" applyBorder="1" applyAlignment="1">
      <alignment horizontal="center" vertical="center" wrapText="1"/>
    </xf>
    <xf numFmtId="0" fontId="79" fillId="3" borderId="1" xfId="0" applyFont="1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4" fontId="75" fillId="3" borderId="8" xfId="0" applyNumberFormat="1" applyFont="1" applyFill="1" applyBorder="1" applyAlignment="1">
      <alignment horizontal="center" vertical="center" wrapText="1"/>
    </xf>
    <xf numFmtId="3" fontId="77" fillId="3" borderId="8" xfId="0" applyNumberFormat="1" applyFont="1" applyFill="1" applyBorder="1" applyAlignment="1">
      <alignment horizontal="center" vertical="center" wrapText="1"/>
    </xf>
    <xf numFmtId="3" fontId="75" fillId="3" borderId="8" xfId="0" applyNumberFormat="1" applyFont="1" applyFill="1" applyBorder="1" applyAlignment="1">
      <alignment horizontal="center" vertical="center" wrapText="1"/>
    </xf>
    <xf numFmtId="0" fontId="79" fillId="3" borderId="8" xfId="0" applyFont="1" applyFill="1" applyBorder="1" applyAlignment="1">
      <alignment horizontal="left" vertical="center" wrapText="1"/>
    </xf>
    <xf numFmtId="175" fontId="67" fillId="3" borderId="0" xfId="0" applyNumberFormat="1" applyFont="1" applyFill="1" applyBorder="1" applyAlignment="1">
      <alignment horizontal="center" vertical="center" wrapText="1"/>
    </xf>
    <xf numFmtId="177" fontId="80" fillId="3" borderId="1" xfId="117" applyNumberFormat="1" applyFont="1" applyFill="1" applyBorder="1" applyAlignment="1">
      <alignment horizontal="center" vertical="center" wrapText="1"/>
    </xf>
    <xf numFmtId="1" fontId="81" fillId="3" borderId="1" xfId="0" applyNumberFormat="1" applyFont="1" applyFill="1" applyBorder="1" applyAlignment="1">
      <alignment horizontal="center" vertical="center" wrapText="1"/>
    </xf>
    <xf numFmtId="176" fontId="80" fillId="3" borderId="1" xfId="0" applyNumberFormat="1" applyFont="1" applyFill="1" applyBorder="1" applyAlignment="1">
      <alignment horizontal="center" vertical="center" wrapText="1"/>
    </xf>
    <xf numFmtId="0" fontId="81" fillId="3" borderId="1" xfId="0" applyNumberFormat="1" applyFont="1" applyFill="1" applyBorder="1" applyAlignment="1">
      <alignment horizontal="center" vertical="center" wrapText="1"/>
    </xf>
    <xf numFmtId="0" fontId="80" fillId="3" borderId="1" xfId="0" applyNumberFormat="1" applyFont="1" applyFill="1" applyBorder="1" applyAlignment="1">
      <alignment horizontal="center" vertical="center" wrapText="1"/>
    </xf>
    <xf numFmtId="2" fontId="82" fillId="3" borderId="1" xfId="0" applyNumberFormat="1" applyFont="1" applyFill="1" applyBorder="1" applyAlignment="1">
      <alignment horizontal="left" vertical="center" wrapText="1"/>
    </xf>
    <xf numFmtId="2" fontId="81" fillId="3" borderId="1" xfId="0" applyNumberFormat="1" applyFont="1" applyFill="1" applyBorder="1" applyAlignment="1">
      <alignment vertical="center" wrapText="1"/>
    </xf>
    <xf numFmtId="2" fontId="80" fillId="3" borderId="1" xfId="0" applyNumberFormat="1" applyFont="1" applyFill="1" applyBorder="1" applyAlignment="1">
      <alignment vertical="center" wrapText="1"/>
    </xf>
    <xf numFmtId="2" fontId="80" fillId="3" borderId="2" xfId="0" applyNumberFormat="1" applyFont="1" applyFill="1" applyBorder="1" applyAlignment="1">
      <alignment horizontal="left" vertical="center" wrapText="1"/>
    </xf>
    <xf numFmtId="0" fontId="67" fillId="28" borderId="8" xfId="0" applyFont="1" applyFill="1" applyBorder="1" applyAlignment="1">
      <alignment horizontal="center" vertical="center" wrapText="1"/>
    </xf>
    <xf numFmtId="4" fontId="67" fillId="3" borderId="8" xfId="0" applyNumberFormat="1" applyFont="1" applyFill="1" applyBorder="1" applyAlignment="1">
      <alignment horizontal="center" vertical="center" wrapText="1"/>
    </xf>
    <xf numFmtId="0" fontId="81" fillId="3" borderId="8" xfId="0" applyFont="1" applyFill="1" applyBorder="1" applyAlignment="1">
      <alignment horizontal="left" vertical="center" wrapText="1"/>
    </xf>
    <xf numFmtId="4" fontId="67" fillId="3" borderId="0" xfId="0" applyNumberFormat="1" applyFont="1" applyFill="1" applyBorder="1" applyAlignment="1">
      <alignment horizontal="right" vertical="center" wrapText="1"/>
    </xf>
    <xf numFmtId="177" fontId="81" fillId="3" borderId="5" xfId="117" applyNumberFormat="1" applyFont="1" applyFill="1" applyBorder="1" applyAlignment="1">
      <alignment horizontal="center" vertical="center" wrapText="1"/>
    </xf>
    <xf numFmtId="176" fontId="81" fillId="3" borderId="1" xfId="0" applyNumberFormat="1" applyFont="1" applyFill="1" applyBorder="1" applyAlignment="1">
      <alignment horizontal="center" vertical="center" wrapText="1"/>
    </xf>
    <xf numFmtId="0" fontId="81" fillId="3" borderId="1" xfId="0" applyFont="1" applyFill="1" applyBorder="1" applyAlignment="1">
      <alignment horizontal="center" vertical="center" wrapText="1"/>
    </xf>
    <xf numFmtId="2" fontId="80" fillId="3" borderId="1" xfId="0" applyNumberFormat="1" applyFont="1" applyFill="1" applyBorder="1" applyAlignment="1">
      <alignment horizontal="left" vertical="center" wrapText="1"/>
    </xf>
    <xf numFmtId="2" fontId="80" fillId="3" borderId="2" xfId="0" applyNumberFormat="1" applyFont="1" applyFill="1" applyBorder="1" applyAlignment="1">
      <alignment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83" fillId="3" borderId="1" xfId="0" applyNumberFormat="1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 wrapText="1"/>
    </xf>
    <xf numFmtId="4" fontId="78" fillId="3" borderId="8" xfId="0" applyNumberFormat="1" applyFont="1" applyFill="1" applyBorder="1" applyAlignment="1">
      <alignment horizontal="center" vertical="center" wrapText="1"/>
    </xf>
    <xf numFmtId="4" fontId="68" fillId="3" borderId="0" xfId="0" applyNumberFormat="1" applyFont="1" applyFill="1" applyAlignment="1">
      <alignment vertical="center" wrapText="1"/>
    </xf>
    <xf numFmtId="0" fontId="78" fillId="28" borderId="8" xfId="0" applyFont="1" applyFill="1" applyBorder="1" applyAlignment="1">
      <alignment horizontal="center" vertical="center" wrapText="1"/>
    </xf>
    <xf numFmtId="0" fontId="80" fillId="3" borderId="8" xfId="0" applyFont="1" applyFill="1" applyBorder="1" applyAlignment="1">
      <alignment horizontal="left" vertical="center" wrapText="1"/>
    </xf>
    <xf numFmtId="4" fontId="78" fillId="0" borderId="8" xfId="0" applyNumberFormat="1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left" vertical="center" wrapText="1"/>
    </xf>
    <xf numFmtId="177" fontId="81" fillId="3" borderId="1" xfId="117" applyNumberFormat="1" applyFont="1" applyFill="1" applyBorder="1" applyAlignment="1">
      <alignment horizontal="center" vertical="center" wrapText="1"/>
    </xf>
    <xf numFmtId="176" fontId="83" fillId="3" borderId="1" xfId="0" applyNumberFormat="1" applyFont="1" applyFill="1" applyBorder="1" applyAlignment="1">
      <alignment horizontal="center" vertical="center" wrapText="1"/>
    </xf>
    <xf numFmtId="0" fontId="80" fillId="3" borderId="1" xfId="0" applyFont="1" applyFill="1" applyBorder="1" applyAlignment="1">
      <alignment horizontal="center" vertical="center" wrapText="1"/>
    </xf>
    <xf numFmtId="4" fontId="67" fillId="3" borderId="0" xfId="0" applyNumberFormat="1" applyFont="1" applyFill="1" applyAlignment="1">
      <alignment horizontal="right" vertical="center" wrapText="1"/>
    </xf>
    <xf numFmtId="177" fontId="80" fillId="3" borderId="5" xfId="117" applyNumberFormat="1" applyFont="1" applyFill="1" applyBorder="1" applyAlignment="1">
      <alignment horizontal="center" vertical="center" wrapText="1"/>
    </xf>
    <xf numFmtId="176" fontId="81" fillId="3" borderId="5" xfId="0" applyNumberFormat="1" applyFont="1" applyFill="1" applyBorder="1" applyAlignment="1">
      <alignment horizontal="center" vertical="center" wrapText="1"/>
    </xf>
    <xf numFmtId="2" fontId="81" fillId="3" borderId="5" xfId="0" applyNumberFormat="1" applyFont="1" applyFill="1" applyBorder="1" applyAlignment="1">
      <alignment vertical="center" wrapText="1"/>
    </xf>
    <xf numFmtId="167" fontId="64" fillId="27" borderId="1" xfId="13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left" vertical="center" wrapText="1"/>
    </xf>
    <xf numFmtId="49" fontId="80" fillId="3" borderId="1" xfId="0" applyNumberFormat="1" applyFont="1" applyFill="1" applyBorder="1" applyAlignment="1">
      <alignment horizontal="left" vertical="center" wrapText="1"/>
    </xf>
    <xf numFmtId="177" fontId="81" fillId="3" borderId="6" xfId="117" applyNumberFormat="1" applyFont="1" applyFill="1" applyBorder="1" applyAlignment="1">
      <alignment horizontal="center" vertical="center" wrapText="1"/>
    </xf>
    <xf numFmtId="177" fontId="80" fillId="0" borderId="1" xfId="117" applyNumberFormat="1" applyFont="1" applyFill="1" applyBorder="1" applyAlignment="1">
      <alignment horizontal="center" vertical="center" wrapText="1"/>
    </xf>
    <xf numFmtId="176" fontId="81" fillId="28" borderId="1" xfId="0" applyNumberFormat="1" applyFont="1" applyFill="1" applyBorder="1" applyAlignment="1">
      <alignment horizontal="center" vertical="center" wrapText="1"/>
    </xf>
    <xf numFmtId="2" fontId="82" fillId="28" borderId="1" xfId="0" applyNumberFormat="1" applyFont="1" applyFill="1" applyBorder="1" applyAlignment="1">
      <alignment horizontal="left" vertical="center" wrapText="1"/>
    </xf>
    <xf numFmtId="2" fontId="81" fillId="28" borderId="1" xfId="0" applyNumberFormat="1" applyFont="1" applyFill="1" applyBorder="1" applyAlignment="1">
      <alignment vertical="center" wrapText="1"/>
    </xf>
    <xf numFmtId="2" fontId="80" fillId="28" borderId="1" xfId="0" applyNumberFormat="1" applyFont="1" applyFill="1" applyBorder="1" applyAlignment="1">
      <alignment horizontal="left" vertical="center" wrapText="1"/>
    </xf>
    <xf numFmtId="2" fontId="80" fillId="28" borderId="2" xfId="0" applyNumberFormat="1" applyFont="1" applyFill="1" applyBorder="1" applyAlignment="1">
      <alignment horizontal="left" vertical="center" wrapText="1"/>
    </xf>
    <xf numFmtId="4" fontId="67" fillId="28" borderId="8" xfId="0" applyNumberFormat="1" applyFont="1" applyFill="1" applyBorder="1" applyAlignment="1">
      <alignment horizontal="center" vertical="center" wrapText="1"/>
    </xf>
    <xf numFmtId="0" fontId="68" fillId="28" borderId="0" xfId="0" applyFont="1" applyFill="1" applyAlignment="1">
      <alignment vertical="center" wrapText="1"/>
    </xf>
    <xf numFmtId="177" fontId="81" fillId="3" borderId="7" xfId="117" applyNumberFormat="1" applyFont="1" applyFill="1" applyBorder="1" applyAlignment="1">
      <alignment horizontal="center" vertical="center" wrapText="1"/>
    </xf>
    <xf numFmtId="0" fontId="67" fillId="28" borderId="0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 wrapText="1"/>
    </xf>
    <xf numFmtId="0" fontId="81" fillId="3" borderId="5" xfId="0" applyFont="1" applyFill="1" applyBorder="1" applyAlignment="1">
      <alignment horizontal="center" vertical="center" wrapText="1"/>
    </xf>
    <xf numFmtId="167" fontId="64" fillId="0" borderId="0" xfId="13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76" fontId="80" fillId="3" borderId="5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83" fillId="3" borderId="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7" fontId="81" fillId="3" borderId="5" xfId="117" applyNumberFormat="1" applyFont="1" applyFill="1" applyBorder="1" applyAlignment="1">
      <alignment horizontal="left" vertical="center" wrapText="1"/>
    </xf>
    <xf numFmtId="176" fontId="81" fillId="0" borderId="5" xfId="0" applyNumberFormat="1" applyFont="1" applyFill="1" applyBorder="1" applyAlignment="1">
      <alignment horizontal="center" vertical="center" wrapText="1"/>
    </xf>
    <xf numFmtId="4" fontId="78" fillId="31" borderId="8" xfId="0" applyNumberFormat="1" applyFont="1" applyFill="1" applyBorder="1" applyAlignment="1">
      <alignment horizontal="center" vertical="center" wrapText="1"/>
    </xf>
    <xf numFmtId="0" fontId="80" fillId="31" borderId="8" xfId="0" applyFont="1" applyFill="1" applyBorder="1" applyAlignment="1">
      <alignment horizontal="left" vertical="center" wrapText="1"/>
    </xf>
    <xf numFmtId="2" fontId="80" fillId="3" borderId="1" xfId="0" applyNumberFormat="1" applyFont="1" applyFill="1" applyBorder="1" applyAlignment="1">
      <alignment horizontal="right" vertical="center" wrapText="1"/>
    </xf>
    <xf numFmtId="2" fontId="81" fillId="3" borderId="2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14" fontId="81" fillId="3" borderId="1" xfId="0" applyNumberFormat="1" applyFont="1" applyFill="1" applyBorder="1" applyAlignment="1">
      <alignment horizontal="center" vertical="center" wrapText="1"/>
    </xf>
    <xf numFmtId="177" fontId="68" fillId="0" borderId="0" xfId="117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68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177" fontId="68" fillId="0" borderId="0" xfId="117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Alignment="1">
      <alignment horizontal="center" vertical="center" wrapText="1"/>
    </xf>
  </cellXfs>
  <cellStyles count="118">
    <cellStyle name="20% - Акцент1" xfId="61" xr:uid="{00000000-0005-0000-0000-000000000000}"/>
    <cellStyle name="20% - Акцент2" xfId="62" xr:uid="{00000000-0005-0000-0000-000001000000}"/>
    <cellStyle name="20% - Акцент3" xfId="63" xr:uid="{00000000-0005-0000-0000-000002000000}"/>
    <cellStyle name="20% - Акцент4" xfId="64" xr:uid="{00000000-0005-0000-0000-000003000000}"/>
    <cellStyle name="20% - Акцент5" xfId="65" xr:uid="{00000000-0005-0000-0000-000004000000}"/>
    <cellStyle name="20% - Акцент6" xfId="66" xr:uid="{00000000-0005-0000-0000-000005000000}"/>
    <cellStyle name="40% - Акцент1" xfId="67" xr:uid="{00000000-0005-0000-0000-000006000000}"/>
    <cellStyle name="40% - Акцент2" xfId="68" xr:uid="{00000000-0005-0000-0000-000007000000}"/>
    <cellStyle name="40% - Акцент3" xfId="69" xr:uid="{00000000-0005-0000-0000-000008000000}"/>
    <cellStyle name="40% - Акцент4" xfId="70" xr:uid="{00000000-0005-0000-0000-000009000000}"/>
    <cellStyle name="40% - Акцент5" xfId="71" xr:uid="{00000000-0005-0000-0000-00000A000000}"/>
    <cellStyle name="40% - Акцент6" xfId="72" xr:uid="{00000000-0005-0000-0000-00000B000000}"/>
    <cellStyle name="60% - Акцент1" xfId="73" xr:uid="{00000000-0005-0000-0000-00000C000000}"/>
    <cellStyle name="60% - Акцент2" xfId="74" xr:uid="{00000000-0005-0000-0000-00000D000000}"/>
    <cellStyle name="60% - Акцент3" xfId="75" xr:uid="{00000000-0005-0000-0000-00000E000000}"/>
    <cellStyle name="60% - Акцент4" xfId="76" xr:uid="{00000000-0005-0000-0000-00000F000000}"/>
    <cellStyle name="60% - Акцент5" xfId="77" xr:uid="{00000000-0005-0000-0000-000010000000}"/>
    <cellStyle name="60% - Акцент6" xfId="78" xr:uid="{00000000-0005-0000-0000-000011000000}"/>
    <cellStyle name="Comma 2" xfId="3" xr:uid="{00000000-0005-0000-0000-000013000000}"/>
    <cellStyle name="Comma 2 2" xfId="10" xr:uid="{00000000-0005-0000-0000-000014000000}"/>
    <cellStyle name="Comma 2 2 2" xfId="79" xr:uid="{00000000-0005-0000-0000-000015000000}"/>
    <cellStyle name="Comma 2 2 3" xfId="113" xr:uid="{00000000-0005-0000-0000-000016000000}"/>
    <cellStyle name="Comma 2 3" xfId="37" xr:uid="{00000000-0005-0000-0000-000017000000}"/>
    <cellStyle name="Comma 2 4" xfId="50" xr:uid="{00000000-0005-0000-0000-000018000000}"/>
    <cellStyle name="Comma 2 5" xfId="109" xr:uid="{00000000-0005-0000-0000-000019000000}"/>
    <cellStyle name="Comma 3" xfId="13" xr:uid="{00000000-0005-0000-0000-00001A000000}"/>
    <cellStyle name="Comma 3 2" xfId="38" xr:uid="{00000000-0005-0000-0000-00001B000000}"/>
    <cellStyle name="Comma 3 3" xfId="110" xr:uid="{00000000-0005-0000-0000-00001C000000}"/>
    <cellStyle name="Comma 4" xfId="36" xr:uid="{00000000-0005-0000-0000-00001D000000}"/>
    <cellStyle name="Comma 4 2" xfId="39" xr:uid="{00000000-0005-0000-0000-00001E000000}"/>
    <cellStyle name="Comma 4 3" xfId="111" xr:uid="{00000000-0005-0000-0000-00001F000000}"/>
    <cellStyle name="Comma 5" xfId="108" xr:uid="{00000000-0005-0000-0000-000020000000}"/>
    <cellStyle name="dato" xfId="4" xr:uid="{00000000-0005-0000-0000-000021000000}"/>
    <cellStyle name="Îáû÷íûé_ÐÎÌÀÍ--Ø-8" xfId="5" xr:uid="{00000000-0005-0000-0000-000022000000}"/>
    <cellStyle name="Normal 2" xfId="2" xr:uid="{00000000-0005-0000-0000-000024000000}"/>
    <cellStyle name="Normal 2 2" xfId="41" xr:uid="{00000000-0005-0000-0000-000025000000}"/>
    <cellStyle name="Normal 2 3" xfId="40" xr:uid="{00000000-0005-0000-0000-000026000000}"/>
    <cellStyle name="Normal 2 3 2" xfId="33" xr:uid="{00000000-0005-0000-0000-000027000000}"/>
    <cellStyle name="Normal 3" xfId="12" xr:uid="{00000000-0005-0000-0000-000028000000}"/>
    <cellStyle name="Normal 3 2" xfId="42" xr:uid="{00000000-0005-0000-0000-000029000000}"/>
    <cellStyle name="Normal 3 2 2" xfId="56" xr:uid="{00000000-0005-0000-0000-00002A000000}"/>
    <cellStyle name="Normal 3 2 3" xfId="58" xr:uid="{00000000-0005-0000-0000-00002B000000}"/>
    <cellStyle name="Normal 3 2 3 2" xfId="107" xr:uid="{00000000-0005-0000-0000-00002C000000}"/>
    <cellStyle name="Normal 3 2 4" xfId="104" xr:uid="{00000000-0005-0000-0000-00002D000000}"/>
    <cellStyle name="Normal 3 2 5" xfId="52" xr:uid="{00000000-0005-0000-0000-00002E000000}"/>
    <cellStyle name="Normal 3 3" xfId="54" xr:uid="{00000000-0005-0000-0000-00002F000000}"/>
    <cellStyle name="Normal 3 4" xfId="55" xr:uid="{00000000-0005-0000-0000-000030000000}"/>
    <cellStyle name="Normal 3 5" xfId="57" xr:uid="{00000000-0005-0000-0000-000031000000}"/>
    <cellStyle name="Normal 3 6" xfId="105" xr:uid="{00000000-0005-0000-0000-000032000000}"/>
    <cellStyle name="Normal 3 7" xfId="49" xr:uid="{00000000-0005-0000-0000-000033000000}"/>
    <cellStyle name="Normal 39" xfId="34" xr:uid="{00000000-0005-0000-0000-000034000000}"/>
    <cellStyle name="Normal 4" xfId="14" xr:uid="{00000000-0005-0000-0000-000035000000}"/>
    <cellStyle name="Normal 4 2" xfId="44" xr:uid="{00000000-0005-0000-0000-000036000000}"/>
    <cellStyle name="Normal 4 3" xfId="43" xr:uid="{00000000-0005-0000-0000-000037000000}"/>
    <cellStyle name="Normal 5" xfId="32" xr:uid="{00000000-0005-0000-0000-000038000000}"/>
    <cellStyle name="Normal 5 2" xfId="53" xr:uid="{00000000-0005-0000-0000-000039000000}"/>
    <cellStyle name="Normal 5 2 2" xfId="103" xr:uid="{00000000-0005-0000-0000-00003A000000}"/>
    <cellStyle name="Normal 5 3" xfId="59" xr:uid="{00000000-0005-0000-0000-00003B000000}"/>
    <cellStyle name="Normal 5 4" xfId="106" xr:uid="{00000000-0005-0000-0000-00003C000000}"/>
    <cellStyle name="Normal 5 5" xfId="51" xr:uid="{00000000-0005-0000-0000-00003D000000}"/>
    <cellStyle name="Normal 6" xfId="60" xr:uid="{00000000-0005-0000-0000-00003E000000}"/>
    <cellStyle name="Normal 6 2" xfId="114" xr:uid="{00000000-0005-0000-0000-00003F000000}"/>
    <cellStyle name="Ôèíàíñîâûé [0]_ÃËÀØÀ" xfId="6" xr:uid="{00000000-0005-0000-0000-000040000000}"/>
    <cellStyle name="Ôèíàíñîâûé_ÃËÀØÀ" xfId="7" xr:uid="{00000000-0005-0000-0000-000041000000}"/>
    <cellStyle name="Òûñÿ÷è [0]_×èàòóðà Ô" xfId="8" xr:uid="{00000000-0005-0000-0000-000042000000}"/>
    <cellStyle name="Òûñÿ÷è_×èàòóðà Ô" xfId="9" xr:uid="{00000000-0005-0000-0000-000043000000}"/>
    <cellStyle name="Percent 2" xfId="11" xr:uid="{00000000-0005-0000-0000-000045000000}"/>
    <cellStyle name="Percent 2 2" xfId="45" xr:uid="{00000000-0005-0000-0000-000046000000}"/>
    <cellStyle name="Percent 2 3" xfId="115" xr:uid="{00000000-0005-0000-0000-000047000000}"/>
    <cellStyle name="Percent 3" xfId="35" xr:uid="{00000000-0005-0000-0000-000048000000}"/>
    <cellStyle name="Акцент1" xfId="80" xr:uid="{00000000-0005-0000-0000-000049000000}"/>
    <cellStyle name="Акцент2" xfId="81" xr:uid="{00000000-0005-0000-0000-00004A000000}"/>
    <cellStyle name="Акцент3" xfId="82" xr:uid="{00000000-0005-0000-0000-00004B000000}"/>
    <cellStyle name="Акцент4" xfId="83" xr:uid="{00000000-0005-0000-0000-00004C000000}"/>
    <cellStyle name="Акцент5" xfId="84" xr:uid="{00000000-0005-0000-0000-00004D000000}"/>
    <cellStyle name="Акцент6" xfId="85" xr:uid="{00000000-0005-0000-0000-00004E000000}"/>
    <cellStyle name="Ввод " xfId="86" xr:uid="{00000000-0005-0000-0000-00004F000000}"/>
    <cellStyle name="Вывод" xfId="87" xr:uid="{00000000-0005-0000-0000-000050000000}"/>
    <cellStyle name="Вычисление" xfId="88" xr:uid="{00000000-0005-0000-0000-000051000000}"/>
    <cellStyle name="Заголовок 1" xfId="89" xr:uid="{00000000-0005-0000-0000-000052000000}"/>
    <cellStyle name="Заголовок 2" xfId="90" xr:uid="{00000000-0005-0000-0000-000053000000}"/>
    <cellStyle name="Заголовок 3" xfId="91" xr:uid="{00000000-0005-0000-0000-000054000000}"/>
    <cellStyle name="Заголовок 4" xfId="92" xr:uid="{00000000-0005-0000-0000-000055000000}"/>
    <cellStyle name="Итог" xfId="93" xr:uid="{00000000-0005-0000-0000-000056000000}"/>
    <cellStyle name="Контрольная ячейка" xfId="94" xr:uid="{00000000-0005-0000-0000-000057000000}"/>
    <cellStyle name="Название" xfId="95" xr:uid="{00000000-0005-0000-0000-000058000000}"/>
    <cellStyle name="Нейтральный" xfId="96" xr:uid="{00000000-0005-0000-0000-000059000000}"/>
    <cellStyle name="Обычный" xfId="0" builtinId="0"/>
    <cellStyle name="Обычный 10" xfId="15" xr:uid="{00000000-0005-0000-0000-00005A000000}"/>
    <cellStyle name="Обычный 10 2" xfId="16" xr:uid="{00000000-0005-0000-0000-00005B000000}"/>
    <cellStyle name="Обычный 2" xfId="17" xr:uid="{00000000-0005-0000-0000-00005C000000}"/>
    <cellStyle name="Обычный 2 2" xfId="46" xr:uid="{00000000-0005-0000-0000-00005D000000}"/>
    <cellStyle name="Обычный 2 3" xfId="116" xr:uid="{00000000-0005-0000-0000-00005E000000}"/>
    <cellStyle name="Обычный 3" xfId="18" xr:uid="{00000000-0005-0000-0000-00005F000000}"/>
    <cellStyle name="Обычный 3 2" xfId="19" xr:uid="{00000000-0005-0000-0000-000060000000}"/>
    <cellStyle name="Обычный 3 3" xfId="47" xr:uid="{00000000-0005-0000-0000-000061000000}"/>
    <cellStyle name="Обычный 4" xfId="20" xr:uid="{00000000-0005-0000-0000-000062000000}"/>
    <cellStyle name="Обычный 4 2" xfId="21" xr:uid="{00000000-0005-0000-0000-000063000000}"/>
    <cellStyle name="Обычный 5" xfId="22" xr:uid="{00000000-0005-0000-0000-000064000000}"/>
    <cellStyle name="Обычный 5 2" xfId="23" xr:uid="{00000000-0005-0000-0000-000065000000}"/>
    <cellStyle name="Обычный 6" xfId="24" xr:uid="{00000000-0005-0000-0000-000066000000}"/>
    <cellStyle name="Обычный 6 2" xfId="25" xr:uid="{00000000-0005-0000-0000-000067000000}"/>
    <cellStyle name="Обычный 7" xfId="26" xr:uid="{00000000-0005-0000-0000-000068000000}"/>
    <cellStyle name="Обычный 7 2" xfId="27" xr:uid="{00000000-0005-0000-0000-000069000000}"/>
    <cellStyle name="Обычный 8" xfId="28" xr:uid="{00000000-0005-0000-0000-00006A000000}"/>
    <cellStyle name="Обычный 8 2" xfId="29" xr:uid="{00000000-0005-0000-0000-00006B000000}"/>
    <cellStyle name="Обычный 9" xfId="30" xr:uid="{00000000-0005-0000-0000-00006C000000}"/>
    <cellStyle name="Обычный 9 2" xfId="31" xr:uid="{00000000-0005-0000-0000-00006D000000}"/>
    <cellStyle name="Плохой" xfId="97" xr:uid="{00000000-0005-0000-0000-00006E000000}"/>
    <cellStyle name="Пояснение" xfId="98" xr:uid="{00000000-0005-0000-0000-00006F000000}"/>
    <cellStyle name="Примечание" xfId="99" xr:uid="{00000000-0005-0000-0000-000070000000}"/>
    <cellStyle name="Примечание 2" xfId="112" xr:uid="{00000000-0005-0000-0000-000071000000}"/>
    <cellStyle name="Процентный" xfId="1" builtinId="5"/>
    <cellStyle name="Процентный 2" xfId="48" xr:uid="{00000000-0005-0000-0000-000072000000}"/>
    <cellStyle name="Связанная ячейка" xfId="100" xr:uid="{00000000-0005-0000-0000-000073000000}"/>
    <cellStyle name="Текст предупреждения" xfId="101" xr:uid="{00000000-0005-0000-0000-000074000000}"/>
    <cellStyle name="Финансовый" xfId="117" builtinId="3"/>
    <cellStyle name="Хороший" xfId="102" xr:uid="{00000000-0005-0000-0000-000075000000}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44;&#1086;&#1082;&#1091;&#1084;&#1077;&#1085;&#1090;&#1099;\&#1044;&#1086;&#1093;&#1086;&#1076;&#1099;2000\&#1064;&#1077;&#1089;&#1088;&#1091;&#1083;&#1077;&#1073;&#1072;\&#1044;&#1054;&#1061;&#1054;&#1044;&#1067;%2004-1999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&#4332;&#4308;&#4314;&#4312;/&#4306;&#4308;&#4306;&#4315;&#4304;%202019/1%20-%202019-%20&#4332;&#4314;&#4312;&#4321;%20&#4328;&#4308;&#4321;&#4327;&#4312;&#4307;&#4309;&#4308;&#4305;&#4312;&#4321;%20&#4306;&#4308;&#4306;&#4315;&#4304;%20-%2020.11.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2021%20&#4332;&#4314;&#4312;&#4321;%20&#4328;&#4308;&#4321;&#4327;&#4312;&#4307;&#4309;&#4308;&#4305;&#4312;&#4321;%20&#4306;&#4308;&#4306;&#4315;&#4304;%2020.04.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&#4332;&#4308;&#4314;&#4312;/&#4306;&#4308;&#4306;&#4315;&#4304;%202019/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6;&#4308;&#4306;&#4315;&#4304;%202019/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6%20-%202021%20&#4332;&#4314;&#4312;&#4321;%20&#4328;&#4308;&#4321;&#4327;&#4312;&#4307;&#4309;&#4308;&#4305;&#4312;&#4321;%20&#4306;&#4308;&#4306;&#4315;&#4304;%2007.04.2021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6;&#4308;&#4306;&#4315;&#4304;%202019/19-%202019-%20&#4332;&#4314;&#4312;&#4321;%20&#4328;&#4308;&#4321;&#4327;&#4312;&#4307;&#4309;&#4308;&#4305;&#4312;&#4321;%20&#4306;&#4308;&#4306;&#4315;&#4304;%20-%2023.10.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6;&#4308;&#4306;&#4315;&#4304;%202019/20-%202019-%20&#4332;&#4314;&#4312;&#4321;%20&#4328;&#4308;&#4321;&#4327;&#4312;&#4307;&#4309;&#4308;&#4305;&#4312;&#4321;%20&#4306;&#4308;&#4306;&#4315;&#4304;%20-%2003.12.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06;&#4308;&#4306;&#4315;&#4304;%202019/19-%202019-%20&#4332;&#4314;&#4312;&#4321;%20&#4328;&#4308;&#4321;&#4327;&#4312;&#4307;&#4309;&#4308;&#4305;&#4312;&#4321;%20&#4306;&#4308;&#4306;&#4315;&#4304;%20-%2023.10.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1%20-%202019-%20&#4332;&#4314;&#4312;&#4321;%20&#4328;&#4308;&#4321;&#4327;&#4312;&#4307;&#4309;&#4308;&#4305;&#4312;&#4321;%20&#4306;&#4308;&#4306;&#4315;&#4304;%20-%2020.11.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21-%202019-%20&#4332;&#4314;&#4312;&#4321;%20&#4328;&#4308;&#4321;&#4327;&#4312;&#4307;&#4309;&#4308;&#4305;&#4312;&#4321;%20&#4306;&#4308;&#4306;&#4315;&#4304;%20-%2011.12.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2%20&#1041;&#1048;&#1059;&#1044;&#1046;&#1045;&#1058;&#1048;\&#1064;&#1077;&#1089;&#1088;&#1091;&#1083;&#1077;&#1073;&#1072;\12\1999%20&#1041;&#1048;&#1059;&#1044;&#1046;&#1045;&#1058;&#1048;\99%20%20&#1084;&#1080;&#1085;%20&#1089;&#1072;&#1073;,%20&#1088;&#1077;&#1079;&#1077;&#1088;&#1074;&#1080;&#108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ngiz%20Abuseridze/Desktop/&#4328;&#4308;&#4321;&#4327;&#4312;&#4307;&#4309;&#4308;&#4305;&#4312;&#4321;%20&#4306;&#4308;&#4306;&#4315;&#4304;%202020/8-%202020%20&#4332;&#4314;&#4312;&#4321;%20&#4328;&#4308;&#4321;&#4327;&#4312;&#4307;&#4309;&#4308;&#4305;&#4312;&#4321;%20&#4306;&#4308;&#4306;&#4315;&#4304;%20-%2009.03.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19%20&#4332;&#4308;&#4314;&#4312;/&#4306;&#4308;&#4306;&#4315;&#4304;%202019/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2020/&#4306;&#4308;&#4306;&#4315;&#4304;%20%202020/19%20-%202020%20&#4332;&#4314;&#4312;&#4321;%20&#4328;&#4308;&#4321;&#4327;&#4312;&#4307;&#4309;&#4308;&#4305;&#4312;&#4321;%20&#4306;&#4308;&#4306;&#4315;&#4304;%20-%2011.09.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Desktop/&#4306;&#4308;&#4306;&#4315;&#4304;%202021/7%20-%202021%20&#4332;&#4314;&#4312;&#4321;%20&#4328;&#4308;&#4321;&#4327;&#4312;&#4307;&#4309;&#4308;&#4305;&#4312;&#4321;%20&#4306;&#4308;&#4306;&#4315;&#4304;%2020.04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2%20&#1041;&#1048;&#1059;&#1044;&#1046;&#1045;&#1058;&#1048;\&#1064;&#1077;&#1089;&#1088;&#1091;&#1083;&#1077;&#1073;&#1072;\12\2002-12%20&#1090;&#1074;&#1080;&#1089;%20&#1096;&#1077;&#1084;&#1086;&#1089;-&#1093;&#1072;&#1088;&#1076;&#1078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s\my%20doc\Biudjeti%20Gegma\2012%20gegma\Version%202\My%20Documents\Biudjeti%20Gegma\Normatiuli%20Aqti\Adjara%202005\cvlileba\roi%20dok\2003%20&#1041;&#1048;&#1059;&#1044;&#1046;&#1045;&#1058;&#1048;\&#1064;&#1077;&#1089;&#1088;&#1091;&#1083;&#1077;&#1073;&#1072;\12\shesruleba2003-I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mze%20Zosidze/AppData/Roaming/Microsoft/Excel/6-%202020%20&#4332;&#4314;&#4312;&#4321;%20&#4328;&#4308;&#4321;&#4327;&#4312;&#4307;&#4309;&#4308;&#4305;&#4312;&#4321;%20&#4306;&#4308;&#4306;&#4315;&#4304;%20-%2023.01%20(version%201)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&#4332;&#4308;&#4314;&#4312;/&#4306;&#4308;&#4306;&#4315;&#4304;%202019/21-%202019-%20&#4332;&#4314;&#4312;&#4321;%20&#4328;&#4308;&#4321;&#4327;&#4312;&#4307;&#4309;&#4308;&#4305;&#4312;&#4321;%20&#4306;&#4308;&#4306;&#4315;&#4304;%20-%2011.12.2019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%20&#4332;&#4308;&#4314;&#4312;\&#4306;&#4308;&#4306;&#4315;&#4304;%202019\22-%202019-%20&#4332;&#4314;&#4312;&#4321;%20&#4328;&#4308;&#4321;&#4327;&#4312;&#4307;&#4309;&#4308;&#4305;&#4312;&#4321;%20&#4306;&#4308;&#4306;&#4315;&#4304;%20-%2017.12.2019%20-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-%202020%20&#4332;&#4314;&#4312;&#4321;%20&#4328;&#4308;&#4321;&#4327;&#4312;&#4307;&#4309;&#4308;&#4305;&#4312;&#4321;%20&#4306;&#4308;&#4306;&#4315;&#4304;%20-%2009.03.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322;&#4308;&#4316;&#4307;&#4308;&#4320;&#4308;&#4305;&#4312;-2019\&#4306;&#4308;&#4306;&#4315;&#4304;%202019\19-%202019-%20&#4332;&#4314;&#4312;&#4321;%20&#4328;&#4308;&#4321;&#4327;&#4312;&#4307;&#4309;&#4308;&#4305;&#4312;&#4321;%20&#4306;&#4308;&#4306;&#4315;&#4304;%20-%2023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ЗЕМЛЮ"/>
      <sheetName val="ИМУЩЕСТВО"/>
      <sheetName val="НА ПЕРЕДАЧУ ИМУЩЕСТВА"/>
      <sheetName val="ЭКОЛОГИЯ"/>
      <sheetName val="ПРИРОД, РЕСУРСИ"/>
      <sheetName val="МЕСТНЫЕ"/>
      <sheetName val="другие НЕНАЛОГОВЫЕ"/>
      <sheetName val="ПОДОХОДНЫЙ"/>
      <sheetName val="ПРИБЫЛЬ"/>
      <sheetName val="НДС"/>
      <sheetName val="НЕНАЛОГОВЫЕ"/>
      <sheetName val="ПРИВАТИЗАЦИЯ"/>
      <sheetName val="таможенний НДС"/>
      <sheetName val="таможенная пошлина"/>
      <sheetName val="таможенний акциз"/>
      <sheetName val="АКЦИЗ"/>
      <sheetName val="База2"/>
      <sheetName val="71"/>
      <sheetName val="54"/>
      <sheetName val="БАЗА"/>
      <sheetName val="районы"/>
      <sheetName val="АпрельСт"/>
      <sheetName val="АпрельСтБФ"/>
      <sheetName val="I кварталСт"/>
      <sheetName val="4твеСт"/>
      <sheetName val="АпрельДз"/>
      <sheetName val="АпрельДзБФ"/>
      <sheetName val="АпрельДзБФ (-186,5)"/>
      <sheetName val="I кварталДз"/>
      <sheetName val="4твеДз"/>
      <sheetName val="аджария"/>
      <sheetName val="сахееби"/>
      <sheetName val="ганацилеба"/>
      <sheetName val="ганацилеба 4тв"/>
      <sheetName val="Модуль2"/>
      <sheetName val="Модуль3"/>
      <sheetName val="Модуль4"/>
      <sheetName val="Модуль5"/>
      <sheetName val="Модуль7"/>
      <sheetName val="Модуль9"/>
      <sheetName val="Модуль1"/>
      <sheetName val="Модуль6"/>
      <sheetName val="Модуль8"/>
      <sheetName val="Модуль10"/>
      <sheetName val="Модуль11"/>
      <sheetName val="01-04Дз"/>
      <sheetName val="01-04Дз$"/>
      <sheetName val="01-04Дз3%"/>
      <sheetName val="05Дз"/>
      <sheetName val="05Дз$"/>
      <sheetName val="05Дз3%"/>
      <sheetName val="01,11"/>
      <sheetName val="02,12"/>
      <sheetName val="03,04,13"/>
      <sheetName val="05-09,14"/>
      <sheetName val="15"/>
      <sheetName val="16-22"/>
      <sheetName val="25"/>
      <sheetName val="25 (0)"/>
      <sheetName val="30"/>
      <sheetName val="31"/>
      <sheetName val="32"/>
      <sheetName val="04 (114)"/>
      <sheetName val="33"/>
      <sheetName val="34-35"/>
      <sheetName val="36"/>
      <sheetName val="95"/>
      <sheetName val="ШемСах"/>
      <sheetName val="form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H2">
            <v>209669.90778857144</v>
          </cell>
        </row>
        <row r="3">
          <cell r="D3" t="str">
            <v>rjlb</v>
          </cell>
        </row>
        <row r="4">
          <cell r="X4">
            <v>796554.31285714277</v>
          </cell>
          <cell r="Y4">
            <v>557588.01899999997</v>
          </cell>
          <cell r="Z4">
            <v>209669.90778857144</v>
          </cell>
          <cell r="AA4">
            <v>29296.386068571432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8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 t="str">
            <v>01 02 09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თვითმმართველობის განხორციელებაში მოქალაქეთა მონაწილეობის გაძლიერება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/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/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 t="str">
            <v>07 01 03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/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/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/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/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/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/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/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/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/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/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/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/>
        </row>
        <row r="69">
          <cell r="A69" t="str">
            <v>06 01</v>
          </cell>
          <cell r="B69" t="str">
            <v>ჯანმრთელობის დაცვა</v>
          </cell>
          <cell r="C69"/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/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/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/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/>
        </row>
        <row r="89">
          <cell r="A89" t="str">
            <v>07 01</v>
          </cell>
          <cell r="B89" t="str">
            <v>ქალაქის დაგეგმარება</v>
          </cell>
          <cell r="C89"/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/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 t="str">
            <v>07 02 02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 t="str">
            <v>07 02 03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 t="str">
            <v>07 02 04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>07 02 05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/>
        </row>
        <row r="100">
          <cell r="A100" t="str">
            <v>07 03 01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07 04 02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21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01 01</v>
          </cell>
          <cell r="B3" t="str">
            <v>ქალაქ ბათუმის მუნიციპალიტეტის საკრებულო</v>
          </cell>
          <cell r="C3" t="str">
            <v xml:space="preserve">საკრებულო - აპარატი </v>
          </cell>
        </row>
        <row r="4">
          <cell r="A4" t="str">
            <v>01 02</v>
          </cell>
          <cell r="B4" t="str">
            <v>ქალაქ ბათუმის მუნიციპალიტეტის მერია</v>
          </cell>
          <cell r="C4" t="str">
            <v>აპარატი</v>
          </cell>
        </row>
        <row r="5">
          <cell r="A5" t="str">
            <v>01 02 01</v>
          </cell>
          <cell r="B5" t="str">
            <v>ქალაქ ბათუმის მუნიციპალიტეტის მერია</v>
          </cell>
          <cell r="C5" t="str">
            <v>აპარატი - მატერ-ტექნიკ.</v>
          </cell>
        </row>
        <row r="6">
          <cell r="A6" t="str">
            <v>01 02 02</v>
          </cell>
          <cell r="B6" t="str">
            <v>ქალაქ ბათუმის მუნიციპალიტეტის მერია</v>
          </cell>
          <cell r="C6" t="str">
            <v>აპარატი - IT</v>
          </cell>
        </row>
        <row r="7">
          <cell r="A7" t="str">
            <v>01 02 03</v>
          </cell>
          <cell r="B7" t="str">
            <v>ქალაქ ბათუმის მუნიციპალიტეტის მერია</v>
          </cell>
          <cell r="C7" t="str">
            <v>აპარატი - საქმისწარმოება</v>
          </cell>
        </row>
        <row r="8">
          <cell r="A8" t="str">
            <v>01 02 04</v>
          </cell>
          <cell r="B8" t="str">
            <v>ქალაქ ბათუმის მუნიციპალიტეტის მერია</v>
          </cell>
          <cell r="C8" t="str">
            <v>აპარატი - იურიდიული</v>
          </cell>
        </row>
        <row r="9">
          <cell r="A9" t="str">
            <v>01 02 05</v>
          </cell>
          <cell r="B9" t="str">
            <v>ქალაქ ბათუმის მუნიციპალიტეტის მერია</v>
          </cell>
          <cell r="C9" t="str">
            <v>აპარატი - PR</v>
          </cell>
        </row>
        <row r="10">
          <cell r="A10" t="str">
            <v>01 02 11</v>
          </cell>
          <cell r="B10" t="str">
            <v>ქალაქ ბათუმის მუნიციპალიტეტის მერია</v>
          </cell>
          <cell r="C10" t="str">
            <v>აპარატი - შესყიდვები</v>
          </cell>
        </row>
        <row r="11">
          <cell r="A11" t="str">
            <v>01 02 12</v>
          </cell>
          <cell r="B11" t="str">
            <v>ქალაქ ბათუმის მუნიციპალიტეტის მერია</v>
          </cell>
          <cell r="C11" t="str">
            <v>აპარატი - HR</v>
          </cell>
        </row>
        <row r="12">
          <cell r="A12" t="str">
            <v>01 02 06</v>
          </cell>
          <cell r="B12" t="str">
            <v>ქალაქ ბათუმის მუნიციპალიტეტის მერია</v>
          </cell>
          <cell r="C12" t="str">
            <v>აპარატი - პროტოკოლი</v>
          </cell>
        </row>
        <row r="13">
          <cell r="A13" t="str">
            <v>01 02 07</v>
          </cell>
          <cell r="B13" t="str">
            <v>ქალაქ ბათუმის მუნიციპალიტეტის მერია</v>
          </cell>
          <cell r="C13" t="str">
            <v>ზედამხედველობა</v>
          </cell>
        </row>
        <row r="14">
          <cell r="A14" t="str">
            <v>01 02 08</v>
          </cell>
          <cell r="B14" t="str">
            <v>ქალაქ ბათუმის მუნიციპალიტეტის მერია</v>
          </cell>
          <cell r="C14" t="str">
            <v>საფინანსო</v>
          </cell>
        </row>
        <row r="15">
          <cell r="A15" t="str">
            <v>01 02 09</v>
          </cell>
          <cell r="B15" t="str">
            <v>ქალაქ ბათუმის მუნიციპალიტეტის მერია</v>
          </cell>
          <cell r="C15" t="str">
            <v>ეკონომიკური-პოლიტიკა</v>
          </cell>
        </row>
        <row r="16">
          <cell r="A16" t="str">
            <v>01 07</v>
          </cell>
          <cell r="B16" t="str">
            <v>საზოგადოების ინფორმირებულობის ამაღლება</v>
          </cell>
          <cell r="C16" t="str">
            <v>აპარატი - PR</v>
          </cell>
        </row>
        <row r="17">
          <cell r="A17" t="str">
            <v>01 08</v>
          </cell>
          <cell r="B17" t="str">
            <v>მუნიციპალიტეტის საჯარო მოსამსახურეთა პროფესიული განვითარება</v>
          </cell>
          <cell r="C17" t="str">
            <v>აპარატი - HR</v>
          </cell>
        </row>
        <row r="18">
          <cell r="A18" t="str">
            <v>01 01</v>
          </cell>
          <cell r="B18" t="str">
            <v>ქალაქ ბათუმის მუნიციპალიტეტის საკრებულო</v>
          </cell>
          <cell r="C18" t="str">
            <v>საკრებულო</v>
          </cell>
        </row>
        <row r="19">
          <cell r="A19" t="str">
            <v>01 06</v>
          </cell>
          <cell r="B19" t="str">
            <v>წვევამდელთა ტრანსპორტირება</v>
          </cell>
          <cell r="C19" t="str">
            <v>სამხედრო</v>
          </cell>
        </row>
        <row r="20">
          <cell r="A20" t="str">
            <v>02 00</v>
          </cell>
          <cell r="B20" t="str">
            <v>ინფრასტრუქტურისა და მუნიციპალური კომუნალური სერვისების განვითარება</v>
          </cell>
        </row>
        <row r="21">
          <cell r="A21" t="str">
            <v>02 01</v>
          </cell>
          <cell r="B21" t="str">
            <v>საგზაო ინფრასტრუქტურის განვითარება</v>
          </cell>
        </row>
        <row r="22">
          <cell r="A22" t="str">
            <v>02 01 01</v>
          </cell>
          <cell r="B22" t="str">
            <v>გზების, ქუჩებისა და ტროტუარების მიმდინარე მოვლა-პატრონობა</v>
          </cell>
          <cell r="C22" t="str">
            <v>კეთილმოწყობა</v>
          </cell>
        </row>
        <row r="23">
          <cell r="A23" t="str">
            <v>02 01 02</v>
          </cell>
          <cell r="B23" t="str">
            <v>საგზაო ინფრასტრუქტურის რეაბილიტაცია და კაპიტალური მშენებლობა</v>
          </cell>
          <cell r="C23" t="str">
            <v>კეთილმოწყობა</v>
          </cell>
        </row>
        <row r="24">
          <cell r="A24" t="str">
            <v>02 01 03</v>
          </cell>
          <cell r="B24" t="str">
            <v>გარე განათების ქსელის განვითარება და მოვლა-პატრონობა</v>
          </cell>
          <cell r="C24" t="str">
            <v>კეთილმოწყობა</v>
          </cell>
        </row>
        <row r="25">
          <cell r="A25" t="str">
            <v xml:space="preserve">02 04 </v>
          </cell>
        </row>
        <row r="26">
          <cell r="A26" t="str">
            <v>02 04 01</v>
          </cell>
          <cell r="B26" t="str">
            <v>საცხოვრებელი სახლების მშენებლობა</v>
          </cell>
          <cell r="C26" t="str">
            <v>ჯანდაცვა</v>
          </cell>
        </row>
        <row r="27">
          <cell r="A27" t="str">
            <v>03 02</v>
          </cell>
          <cell r="B27" t="str">
            <v>საბაზისო კომუნალური ინფრასტრუქტურის განვითარება</v>
          </cell>
        </row>
        <row r="28">
          <cell r="A28" t="str">
            <v>03 02 01</v>
          </cell>
          <cell r="B28" t="str">
            <v>სანიაღვრე სისტემების რეაბილიტაცია და მოვლა-პატრონობა</v>
          </cell>
          <cell r="C28" t="str">
            <v>კეთილმოწყობა</v>
          </cell>
        </row>
        <row r="29">
          <cell r="A29" t="str">
            <v>03 02 02</v>
          </cell>
          <cell r="B29" t="str">
            <v>წყლის სისტემების რეაბილიტაცია</v>
          </cell>
          <cell r="C29" t="str">
            <v>კეთილმოწყობა</v>
          </cell>
        </row>
        <row r="30">
          <cell r="A30" t="str">
            <v>03 02 03</v>
          </cell>
          <cell r="B30" t="str">
            <v>კანალიზაციის სისტემების რეაბილიტაცია</v>
          </cell>
          <cell r="C30" t="str">
            <v>კეთილმოწყობა</v>
          </cell>
        </row>
        <row r="31">
          <cell r="A31" t="str">
            <v>03 02 04</v>
          </cell>
          <cell r="B31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31" t="str">
            <v>კეთილმოწყობა</v>
          </cell>
        </row>
        <row r="32">
          <cell r="A32" t="str">
            <v>03 03</v>
          </cell>
          <cell r="B32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3">
          <cell r="A33" t="str">
            <v>03 03 01</v>
          </cell>
          <cell r="B33" t="str">
            <v>ქალაქის დასუფთავება და ნარჩენების გატანა</v>
          </cell>
          <cell r="C33" t="str">
            <v>კეთილმოწყობა</v>
          </cell>
        </row>
        <row r="34">
          <cell r="A34" t="str">
            <v>03 03 02</v>
          </cell>
          <cell r="B34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4" t="str">
            <v>კეთილმოწყობა</v>
          </cell>
        </row>
        <row r="35">
          <cell r="A35" t="str">
            <v>03 03 06</v>
          </cell>
          <cell r="B35" t="str">
            <v>ქალაქის გაფორმების ღონისძიებები</v>
          </cell>
          <cell r="C35" t="str">
            <v>კეთილმოწყობა</v>
          </cell>
        </row>
        <row r="36">
          <cell r="A36" t="str">
            <v>03 03 07</v>
          </cell>
          <cell r="B36" t="str">
            <v>ბათუმის ისტორიული უბნებისა და ტურისტული ინფრასტრუქტურის რეაბილიტაცია</v>
          </cell>
          <cell r="C36" t="str">
            <v>კეთილმოწყობა</v>
          </cell>
        </row>
        <row r="37">
          <cell r="A37" t="str">
            <v>03 04</v>
          </cell>
          <cell r="B37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8">
          <cell r="A38" t="str">
            <v>03 04 01</v>
          </cell>
          <cell r="B38" t="str">
            <v>საცხოვრებელი სახლების მშენებლობა</v>
          </cell>
          <cell r="C38" t="str">
            <v>კეთილმოწყობა</v>
          </cell>
        </row>
        <row r="39">
          <cell r="A39" t="str">
            <v>07 01</v>
          </cell>
          <cell r="B39" t="str">
            <v>ქალაქის დაგეგმარება</v>
          </cell>
        </row>
        <row r="40">
          <cell r="A40" t="str">
            <v>07 01 01</v>
          </cell>
          <cell r="B40" t="str">
            <v>ქალაქის განვითარების გეგმის შედგენა</v>
          </cell>
          <cell r="C40" t="str">
            <v>არქიტექტურა</v>
          </cell>
        </row>
        <row r="41">
          <cell r="A41" t="str">
            <v>07 01 02</v>
          </cell>
          <cell r="B41" t="str">
            <v>საპროექტო-სახარჯთაღრიცხვო დოკუმენტაციის შედგენა</v>
          </cell>
          <cell r="C41" t="str">
            <v>კეთილმოწყობა</v>
          </cell>
        </row>
        <row r="42">
          <cell r="B42" t="str">
            <v>საკომპენსაციო თანხებით მოქალაქეთა უზრუნველყოფა</v>
          </cell>
          <cell r="C42" t="str">
            <v>ეკონომიკური</v>
          </cell>
        </row>
        <row r="43">
          <cell r="A43" t="str">
            <v>04 00</v>
          </cell>
          <cell r="B43" t="str">
            <v>განათლება</v>
          </cell>
        </row>
        <row r="44">
          <cell r="A44" t="str">
            <v>04 01</v>
          </cell>
          <cell r="B44" t="str">
            <v xml:space="preserve"> სკოლამდელი აღზრდა და განათლება       </v>
          </cell>
        </row>
        <row r="45">
          <cell r="A45" t="str">
            <v>04 01 02</v>
          </cell>
          <cell r="B45" t="str">
            <v>საბავშვო ბაღების შენობების რეაბილიტაცია</v>
          </cell>
          <cell r="C45" t="str">
            <v>კეთილმოწყობა</v>
          </cell>
        </row>
        <row r="46">
          <cell r="A46" t="str">
            <v>04 02</v>
          </cell>
          <cell r="B46" t="str">
            <v>პროფესიული განვითარებისა და უმაღლესი განათლების ხელშეწყობა</v>
          </cell>
        </row>
        <row r="47">
          <cell r="A47" t="str">
            <v>04 02 01</v>
          </cell>
          <cell r="B47" t="str">
            <v>პროფესიული განვითარების  ხელშეწყობა</v>
          </cell>
          <cell r="C47" t="str">
            <v>განათ. და კულტურა</v>
          </cell>
        </row>
        <row r="48">
          <cell r="A48" t="str">
            <v>04 02 02</v>
          </cell>
          <cell r="B48" t="str">
            <v>ლუკა ასათიანის სახელობის სტიპენდია წარმატებული სტუდენტებისათვის</v>
          </cell>
          <cell r="C48" t="str">
            <v>განათ. და კულტურა</v>
          </cell>
        </row>
        <row r="49">
          <cell r="A49" t="str">
            <v>04 02 03</v>
          </cell>
          <cell r="B49" t="str">
            <v>პროფესიული საგანმანათლებლო დაწესებულების განვითარების ხელშეწყობა</v>
          </cell>
          <cell r="C49" t="str">
            <v>კეთილმოწყობა</v>
          </cell>
        </row>
        <row r="50">
          <cell r="A50" t="str">
            <v>04 03</v>
          </cell>
          <cell r="B50" t="str">
            <v>ზოგადი განათლების ხელშეწყობა</v>
          </cell>
        </row>
        <row r="51">
          <cell r="A51" t="str">
            <v>04 03 01</v>
          </cell>
          <cell r="B51" t="str">
            <v>ინკლუზიური განათლების ხელშეწყობა</v>
          </cell>
          <cell r="C51" t="str">
            <v>განათ. და კულტურა</v>
          </cell>
        </row>
        <row r="52">
          <cell r="A52" t="str">
            <v>05 00</v>
          </cell>
          <cell r="B52" t="str">
            <v>კულტურა, რელიგია, ახალგაზრდობის ხელშეწყობა და სპორტი</v>
          </cell>
        </row>
        <row r="53">
          <cell r="A53" t="str">
            <v>05 01</v>
          </cell>
          <cell r="B53" t="str">
            <v>სპორტის განვითარების ხელშეწყობა</v>
          </cell>
        </row>
        <row r="54">
          <cell r="A54" t="str">
            <v>05 01 02</v>
          </cell>
          <cell r="B54" t="str">
            <v>საერთაშორისო სპორტული ღონისძიებების მხარდაჭერა</v>
          </cell>
          <cell r="C54" t="str">
            <v>ახალგაზ. და სპორტი</v>
          </cell>
        </row>
        <row r="55">
          <cell r="A55" t="str">
            <v>05 01 03</v>
          </cell>
          <cell r="B55" t="str">
            <v>ბათუმელი სპორტსმენების ინდივიდუალური განვითარების ხელშეწყობა</v>
          </cell>
          <cell r="C55" t="str">
            <v>ახალგაზ. და სპორტი</v>
          </cell>
        </row>
        <row r="56">
          <cell r="A56" t="str">
            <v>05 02</v>
          </cell>
          <cell r="B56" t="str">
            <v>მუნიციპალური სპორტული ინფრასტრუქტურის განვითარება და მოვლა-პატრონობა</v>
          </cell>
        </row>
        <row r="57">
          <cell r="A57" t="str">
            <v>05 02 02</v>
          </cell>
          <cell r="B57" t="str">
            <v>სასპორტო ინფრასტრუქტურის მშენებლობა და რეაბილიტაცია</v>
          </cell>
          <cell r="C57" t="str">
            <v>კეთილმოწყობა</v>
          </cell>
        </row>
        <row r="58">
          <cell r="A58" t="str">
            <v>05 03</v>
          </cell>
          <cell r="B58" t="str">
            <v>კულტურული ღონისძიებები და ფესტივალები</v>
          </cell>
        </row>
        <row r="59">
          <cell r="A59" t="str">
            <v>05 03 04</v>
          </cell>
          <cell r="B59" t="str">
            <v>საერთაშორისო ფესტივალების მხარდაჭერა</v>
          </cell>
          <cell r="C59" t="str">
            <v>განათ. და კულტურა</v>
          </cell>
        </row>
        <row r="60">
          <cell r="A60" t="str">
            <v>05 03 05</v>
          </cell>
          <cell r="B60" t="str">
            <v>კულტურის სფეროში თავისუფალი ინიციატივების მხარდაჭერა</v>
          </cell>
          <cell r="C60" t="str">
            <v>განათ. და კულტურა</v>
          </cell>
        </row>
        <row r="61">
          <cell r="A61" t="str">
            <v>05 04</v>
          </cell>
          <cell r="B61" t="str">
            <v>კულტურულ-საგანმანათლებლო საქმიანობის ხელშეწყობა</v>
          </cell>
        </row>
        <row r="62">
          <cell r="A62" t="str">
            <v>05 04 04</v>
          </cell>
          <cell r="B62" t="str">
            <v>ხელოვანთა ხელშეწყობა</v>
          </cell>
          <cell r="C62" t="str">
            <v>განათ. და კულტურა</v>
          </cell>
        </row>
        <row r="63">
          <cell r="A63" t="str">
            <v>05 05</v>
          </cell>
          <cell r="B63" t="str">
            <v>კულტურული მემკვიდრეობის დაცვა და განვითარება</v>
          </cell>
        </row>
        <row r="64">
          <cell r="A64" t="str">
            <v>05 05 01</v>
          </cell>
          <cell r="B64" t="str">
            <v>კულტურული მემკვიდრეობის ძეგლების რეაბილიტაცია</v>
          </cell>
          <cell r="C64" t="str">
            <v>კეთილმოწყობა</v>
          </cell>
        </row>
        <row r="65">
          <cell r="A65" t="str">
            <v>05 05 02</v>
          </cell>
          <cell r="B65" t="str">
            <v>კულტურული მემკვიდრეობის დაცვა</v>
          </cell>
          <cell r="C65" t="str">
            <v>კეთილმოწყობა</v>
          </cell>
        </row>
        <row r="66">
          <cell r="A66" t="str">
            <v>05 05 03</v>
          </cell>
          <cell r="B66" t="str">
            <v>მემორიალების პროექტების შედგენა</v>
          </cell>
          <cell r="C66" t="str">
            <v>განათ. და კულტურა</v>
          </cell>
        </row>
        <row r="67">
          <cell r="A67" t="str">
            <v>05 06</v>
          </cell>
          <cell r="B67" t="str">
            <v>ახალგაზრდობის განვითარების ხელშეწყობა</v>
          </cell>
        </row>
        <row r="68">
          <cell r="A68" t="str">
            <v>05 06 01</v>
          </cell>
          <cell r="B68" t="str">
            <v>ახალგაზრდული ცენტრი</v>
          </cell>
          <cell r="C68" t="str">
            <v>ახალგაზ. და სპორტი</v>
          </cell>
        </row>
        <row r="69">
          <cell r="A69" t="str">
            <v>05 06 02</v>
          </cell>
          <cell r="B69" t="str">
            <v>ინტელექტუალური და შემეცნებითი პროექტების მხარდაჭერა</v>
          </cell>
          <cell r="C69" t="str">
            <v>ახალგაზ. და სპორტი</v>
          </cell>
        </row>
        <row r="70">
          <cell r="A70" t="str">
            <v>05 06 03</v>
          </cell>
          <cell r="B70" t="str">
            <v>სტუდენტური საზაფხულო დასაქმება</v>
          </cell>
          <cell r="C70" t="str">
            <v>ახალგაზ. და სპორტი</v>
          </cell>
        </row>
        <row r="71">
          <cell r="A71" t="str">
            <v>06 00</v>
          </cell>
          <cell r="B71" t="str">
            <v>მოსახლეობის ჯანმრთელობისა დაცვა და  სოციალური უზრუნველყოფა</v>
          </cell>
        </row>
        <row r="72">
          <cell r="A72" t="str">
            <v>06 01</v>
          </cell>
          <cell r="B72" t="str">
            <v>ჯანმრთელობის დაცვა</v>
          </cell>
        </row>
        <row r="73">
          <cell r="A73" t="str">
            <v>06 01 01</v>
          </cell>
          <cell r="B73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3" t="str">
            <v>ჯანდაცვა</v>
          </cell>
        </row>
        <row r="74">
          <cell r="A74" t="str">
            <v>06 01 02</v>
          </cell>
          <cell r="B74" t="str">
            <v>ონკოლოგიურ დაავადებათა ადრეული ფორმების დიაგნოსტიკა და პრევენცია</v>
          </cell>
          <cell r="C74" t="str">
            <v>ჯანდაცვა</v>
          </cell>
        </row>
        <row r="75">
          <cell r="A75" t="str">
            <v>06 01 04</v>
          </cell>
          <cell r="B75" t="str">
            <v>ფსიქიური პრობლემების მქონე პირთა ფსიქო-სოციალური რეაბილიტაცია</v>
          </cell>
          <cell r="C75" t="str">
            <v>ჯანდაცვა</v>
          </cell>
        </row>
        <row r="76">
          <cell r="A76" t="str">
            <v>06 01 05</v>
          </cell>
          <cell r="B76" t="str">
            <v>მოწყვლადი ჯგუფების სტომატოლოგიური და  ორთოპედიული  მომსახურეობა</v>
          </cell>
          <cell r="C76" t="str">
            <v>ჯანდაცვა</v>
          </cell>
        </row>
        <row r="77">
          <cell r="A77" t="str">
            <v>06 01 07</v>
          </cell>
          <cell r="B77" t="str">
            <v>შ.შ.მ. სტატუსის ბავშვთა და ვეტერანთა საკურორტო სამკურნალო-რეაბილიტაცია</v>
          </cell>
          <cell r="C77" t="str">
            <v>ჯანდაცვა</v>
          </cell>
        </row>
        <row r="78">
          <cell r="A78" t="str">
            <v>06 01 08</v>
          </cell>
          <cell r="B78" t="str">
            <v>ქრონიკული დაავადებების მქონე პაციენტთა მონიტორინგი და დიაგნოსტიკა</v>
          </cell>
          <cell r="C78" t="str">
            <v>ჯანდაცვა</v>
          </cell>
        </row>
        <row r="79">
          <cell r="A79" t="str">
            <v>06 01 09</v>
          </cell>
          <cell r="B79" t="str">
            <v>ახალშობილთა და ბავშვთა განვითარების შეფერხების პრევენცია და რეაბილიტაცია</v>
          </cell>
          <cell r="C79" t="str">
            <v>ჯანდაცვა</v>
          </cell>
        </row>
        <row r="80">
          <cell r="A80" t="str">
            <v>06 01 10</v>
          </cell>
          <cell r="B80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81">
          <cell r="A81" t="str">
            <v>06 01 14</v>
          </cell>
          <cell r="B81" t="str">
            <v>თემზე დაფუძნებული მობილური გუნდის მომსახურება</v>
          </cell>
          <cell r="C81" t="str">
            <v>ჯანდაცვა</v>
          </cell>
        </row>
        <row r="82">
          <cell r="A82" t="str">
            <v>06 02</v>
          </cell>
          <cell r="B82" t="str">
            <v>სოციალური უზრუნველყოფა</v>
          </cell>
        </row>
        <row r="83">
          <cell r="A83" t="str">
            <v>06 02 01</v>
          </cell>
          <cell r="B83" t="str">
            <v xml:space="preserve">კომუნალური მომსახურების საფასურის სუბსიდირება </v>
          </cell>
          <cell r="C83" t="str">
            <v>სოციალური</v>
          </cell>
        </row>
        <row r="84">
          <cell r="A84" t="str">
            <v>06 02 04</v>
          </cell>
          <cell r="B84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4" t="str">
            <v>სოციალური</v>
          </cell>
        </row>
        <row r="85">
          <cell r="A85" t="str">
            <v>06 02 10</v>
          </cell>
          <cell r="B85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5" t="str">
            <v>სოციალური</v>
          </cell>
        </row>
        <row r="86">
          <cell r="A86" t="str">
            <v>06 02 11</v>
          </cell>
          <cell r="B86" t="str">
            <v>შეზღუდული შესაძლებლობების მქონე პირების ასისტენტით მომსახურება</v>
          </cell>
          <cell r="C86" t="str">
            <v>სოციალური</v>
          </cell>
        </row>
        <row r="87">
          <cell r="A87" t="str">
            <v>06 03</v>
          </cell>
          <cell r="B87" t="str">
            <v>სანიტარიული ზედამხედველობა და ეპიდსიტუაციის მართვა</v>
          </cell>
        </row>
        <row r="88">
          <cell r="A88" t="str">
            <v>06 03 01</v>
          </cell>
          <cell r="B88" t="str">
            <v>ბათუმის ტერიტორიაზე არსებული დაწესებულებების სანიტარული მონიტორინგი</v>
          </cell>
          <cell r="C88" t="str">
            <v>სანიტარული</v>
          </cell>
        </row>
        <row r="89">
          <cell r="A89" t="str">
            <v>06 03 02</v>
          </cell>
          <cell r="B89" t="str">
            <v>დეზინსექცია დერატიზაციის ღონისძიებები</v>
          </cell>
          <cell r="C89" t="str">
            <v>სანიტარული</v>
          </cell>
        </row>
        <row r="90">
          <cell r="A90" t="str">
            <v>06 03 03</v>
          </cell>
          <cell r="B90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90" t="str">
            <v>სანიტარული</v>
          </cell>
        </row>
        <row r="91">
          <cell r="A91" t="str">
            <v>07 00</v>
          </cell>
          <cell r="B91" t="str">
            <v>ქალაქის ეკონომიკური და ურბანული განვითარება</v>
          </cell>
        </row>
        <row r="92">
          <cell r="A92" t="str">
            <v>07 01 01</v>
          </cell>
          <cell r="B92" t="str">
            <v>ქალაქმშენებლობითი დოკუმენტაციის შედგენა</v>
          </cell>
          <cell r="C92" t="str">
            <v>ქალაქგანვითარებისა და ურბანული პოლიტიკის სამსახური</v>
          </cell>
        </row>
        <row r="93">
          <cell r="A93" t="str">
            <v>07 01 02</v>
          </cell>
          <cell r="B93" t="str">
            <v>საპროექტო-სახარჯთაღრიცხვო დოკუმენტაციის შედგენა</v>
          </cell>
          <cell r="C93" t="str">
            <v>საფინანსო-საბიუჯეტო სამსახური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მუნიციპალური პოლიტიკის სამსახური</v>
          </cell>
        </row>
        <row r="95">
          <cell r="A95" t="str">
            <v>07 02 04</v>
          </cell>
          <cell r="B95" t="str">
            <v>ეკონომიკური ფორუმების ორგანიზება</v>
          </cell>
          <cell r="C95" t="str">
            <v>მუნიციპალური პოლიტიკის სამსახური</v>
          </cell>
        </row>
        <row r="96">
          <cell r="A96" t="str">
            <v>07 02 05</v>
          </cell>
          <cell r="B96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6" t="str">
            <v>მუნიციპალური პოლიტიკის სამსახური</v>
          </cell>
        </row>
        <row r="97">
          <cell r="A97" t="str">
            <v>08 00</v>
          </cell>
          <cell r="B97" t="str">
            <v>მუნიციპალური სერვისების განვითარება</v>
          </cell>
        </row>
        <row r="98">
          <cell r="A98" t="str">
            <v>08 01 04</v>
          </cell>
          <cell r="B98" t="str">
            <v>თვითმმართველობის საკუთრებაში არსებული ქონების მართვა</v>
          </cell>
          <cell r="C98" t="str">
            <v>მუნიციპალური ქონების და სერვისების მართვის სამსახური</v>
          </cell>
        </row>
        <row r="99">
          <cell r="A99" t="str">
            <v>08 02 01</v>
          </cell>
          <cell r="B99" t="str">
            <v>მონაწილეობითი ბიუჯეტით შერჩეული პროექტების დაფინანსება</v>
          </cell>
          <cell r="C99" t="str">
            <v>საფინანსო-საბიუჯეტო სამსახური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/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/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/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/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/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/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/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/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/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/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/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/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/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/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/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/>
        </row>
        <row r="69">
          <cell r="A69" t="str">
            <v>06 01</v>
          </cell>
          <cell r="B69" t="str">
            <v>ჯანმრთელობის დაცვა</v>
          </cell>
          <cell r="C69"/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/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/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/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/>
        </row>
        <row r="89">
          <cell r="A89" t="str">
            <v>07 01</v>
          </cell>
          <cell r="B89" t="str">
            <v>ქალაქის დაგეგმარება</v>
          </cell>
          <cell r="C89"/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/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/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/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/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/>
        </row>
        <row r="100">
          <cell r="A100"/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 refreshError="1"/>
      <sheetData sheetId="1" refreshError="1"/>
      <sheetData sheetId="2" refreshError="1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21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01 01</v>
          </cell>
          <cell r="B3" t="str">
            <v>ქალაქ ბათუმის მუნიციპალიტეტის საკრებულო</v>
          </cell>
          <cell r="C3" t="str">
            <v xml:space="preserve">საკრებულო - აპარატი </v>
          </cell>
        </row>
        <row r="4">
          <cell r="A4" t="str">
            <v>01 02</v>
          </cell>
          <cell r="B4" t="str">
            <v>ქალაქ ბათუმის მუნიციპალიტეტის მერია</v>
          </cell>
          <cell r="C4" t="str">
            <v>აპარატი</v>
          </cell>
        </row>
        <row r="5">
          <cell r="A5" t="str">
            <v>01 02 01</v>
          </cell>
          <cell r="B5" t="str">
            <v>ქალაქ ბათუმის მუნიციპალიტეტის მერია</v>
          </cell>
          <cell r="C5" t="str">
            <v>აპარატი - მატერ-ტექნიკ.</v>
          </cell>
        </row>
        <row r="6">
          <cell r="A6" t="str">
            <v>01 02 02</v>
          </cell>
          <cell r="B6" t="str">
            <v>ქალაქ ბათუმის მუნიციპალიტეტის მერია</v>
          </cell>
          <cell r="C6" t="str">
            <v>აპარატი - IT</v>
          </cell>
        </row>
        <row r="7">
          <cell r="A7" t="str">
            <v>01 02 03</v>
          </cell>
          <cell r="B7" t="str">
            <v>ქალაქ ბათუმის მუნიციპალიტეტის მერია</v>
          </cell>
          <cell r="C7" t="str">
            <v>აპარატი - საქმისწარმოება</v>
          </cell>
        </row>
        <row r="8">
          <cell r="A8" t="str">
            <v>01 02 04</v>
          </cell>
          <cell r="B8" t="str">
            <v>ქალაქ ბათუმის მუნიციპალიტეტის მერია</v>
          </cell>
          <cell r="C8" t="str">
            <v>აპარატი - იურიდიული</v>
          </cell>
        </row>
        <row r="9">
          <cell r="A9" t="str">
            <v>01 02 05</v>
          </cell>
          <cell r="B9" t="str">
            <v>ქალაქ ბათუმის მუნიციპალიტეტის მერია</v>
          </cell>
          <cell r="C9" t="str">
            <v>აპარატი - PR</v>
          </cell>
        </row>
        <row r="10">
          <cell r="A10" t="str">
            <v>01 02 11</v>
          </cell>
          <cell r="B10" t="str">
            <v>ქალაქ ბათუმის მუნიციპალიტეტის მერია</v>
          </cell>
          <cell r="C10" t="str">
            <v>აპარატი - შესყიდვები</v>
          </cell>
        </row>
        <row r="11">
          <cell r="A11" t="str">
            <v>01 02 12</v>
          </cell>
          <cell r="B11" t="str">
            <v>ქალაქ ბათუმის მუნიციპალიტეტის მერია</v>
          </cell>
          <cell r="C11" t="str">
            <v>აპარატი - HR</v>
          </cell>
        </row>
        <row r="12">
          <cell r="A12" t="str">
            <v>01 02 06</v>
          </cell>
          <cell r="B12" t="str">
            <v>ქალაქ ბათუმის მუნიციპალიტეტის მერია</v>
          </cell>
          <cell r="C12" t="str">
            <v>აპარატი - პროტოკოლი</v>
          </cell>
        </row>
        <row r="13">
          <cell r="A13" t="str">
            <v>01 02 07</v>
          </cell>
          <cell r="B13" t="str">
            <v>ქალაქ ბათუმის მუნიციპალიტეტის მერია</v>
          </cell>
          <cell r="C13" t="str">
            <v>ზედამხედველობა</v>
          </cell>
        </row>
        <row r="14">
          <cell r="A14" t="str">
            <v>01 02 08</v>
          </cell>
          <cell r="B14" t="str">
            <v>ქალაქ ბათუმის მუნიციპალიტეტის მერია</v>
          </cell>
          <cell r="C14" t="str">
            <v>საფინანსო</v>
          </cell>
        </row>
        <row r="15">
          <cell r="A15" t="str">
            <v>01 02 09</v>
          </cell>
          <cell r="B15" t="str">
            <v>ქალაქ ბათუმის მუნიციპალიტეტის მერია</v>
          </cell>
          <cell r="C15" t="str">
            <v>ეკონომიკური-პოლიტიკა</v>
          </cell>
        </row>
        <row r="16">
          <cell r="A16" t="str">
            <v>01 07</v>
          </cell>
          <cell r="B16" t="str">
            <v>საზოგადოების ინფორმირებულობის ამაღლება</v>
          </cell>
          <cell r="C16" t="str">
            <v>აპარატი - PR</v>
          </cell>
        </row>
        <row r="17">
          <cell r="A17" t="str">
            <v>01 08</v>
          </cell>
          <cell r="B17" t="str">
            <v>მუნიციპალიტეტის საჯარო მოსამსახურეთა პროფესიული განვითარება</v>
          </cell>
          <cell r="C17" t="str">
            <v>აპარატი - HR</v>
          </cell>
        </row>
        <row r="18">
          <cell r="A18" t="str">
            <v>01 01</v>
          </cell>
          <cell r="B18" t="str">
            <v>ქალაქ ბათუმის მუნიციპალიტეტის საკრებულო</v>
          </cell>
          <cell r="C18" t="str">
            <v>საკრებულო</v>
          </cell>
        </row>
        <row r="19">
          <cell r="A19" t="str">
            <v>01 06</v>
          </cell>
          <cell r="B19" t="str">
            <v>წვევამდელთა ტრანსპორტირება</v>
          </cell>
          <cell r="C19" t="str">
            <v>სამხედრო</v>
          </cell>
        </row>
        <row r="20">
          <cell r="A20" t="str">
            <v>02 00</v>
          </cell>
          <cell r="B20" t="str">
            <v>ინფრასტრუქტურისა და მუნიციპალური კომუნალური სერვისების განვითარება</v>
          </cell>
        </row>
        <row r="21">
          <cell r="A21" t="str">
            <v>02 01</v>
          </cell>
          <cell r="B21" t="str">
            <v>საგზაო ინფრასტრუქტურის განვითარება</v>
          </cell>
        </row>
        <row r="22">
          <cell r="A22" t="str">
            <v>02 01 01</v>
          </cell>
          <cell r="B22" t="str">
            <v>გზების, ქუჩებისა და ტროტუარების მიმდინარე მოვლა-პატრონობა</v>
          </cell>
          <cell r="C22" t="str">
            <v>კეთილმოწყობა</v>
          </cell>
        </row>
        <row r="23">
          <cell r="A23" t="str">
            <v>02 01 02</v>
          </cell>
          <cell r="B23" t="str">
            <v>საგზაო ინფრასტრუქტურის რეაბილიტაცია და კაპიტალური მშენებლობა</v>
          </cell>
          <cell r="C23" t="str">
            <v>კეთილმოწყობა</v>
          </cell>
        </row>
        <row r="24">
          <cell r="A24" t="str">
            <v>02 01 03</v>
          </cell>
          <cell r="B24" t="str">
            <v>გარე განათების ქსელის განვითარება და მოვლა-პატრონობა</v>
          </cell>
          <cell r="C24" t="str">
            <v>კეთილმოწყობა</v>
          </cell>
        </row>
        <row r="25">
          <cell r="A25" t="str">
            <v xml:space="preserve">02 04 </v>
          </cell>
        </row>
        <row r="26">
          <cell r="A26" t="str">
            <v>02 04 01</v>
          </cell>
          <cell r="B26" t="str">
            <v>საცხოვრებელი სახლების მშენებლობა</v>
          </cell>
          <cell r="C26" t="str">
            <v>ჯანდაცვა</v>
          </cell>
        </row>
        <row r="27">
          <cell r="A27" t="str">
            <v>03 02</v>
          </cell>
          <cell r="B27" t="str">
            <v>საბაზისო კომუნალური ინფრასტრუქტურის განვითარება</v>
          </cell>
        </row>
        <row r="28">
          <cell r="A28" t="str">
            <v>03 02 01</v>
          </cell>
          <cell r="B28" t="str">
            <v>სანიაღვრე სისტემების რეაბილიტაცია და მოვლა-პატრონობა</v>
          </cell>
          <cell r="C28" t="str">
            <v>კეთილმოწყობა</v>
          </cell>
        </row>
        <row r="29">
          <cell r="A29" t="str">
            <v>03 02 02</v>
          </cell>
          <cell r="B29" t="str">
            <v>წყლის სისტემების რეაბილიტაცია</v>
          </cell>
          <cell r="C29" t="str">
            <v>კეთილმოწყობა</v>
          </cell>
        </row>
        <row r="30">
          <cell r="A30" t="str">
            <v>03 02 03</v>
          </cell>
          <cell r="B30" t="str">
            <v>კანალიზაციის სისტემების რეაბილიტაცია</v>
          </cell>
          <cell r="C30" t="str">
            <v>კეთილმოწყობა</v>
          </cell>
        </row>
        <row r="31">
          <cell r="A31" t="str">
            <v>03 02 04</v>
          </cell>
          <cell r="B31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31" t="str">
            <v>კეთილმოწყობა</v>
          </cell>
        </row>
        <row r="32">
          <cell r="A32" t="str">
            <v>03 03</v>
          </cell>
          <cell r="B32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3">
          <cell r="A33" t="str">
            <v>03 03 01</v>
          </cell>
          <cell r="B33" t="str">
            <v>ქალაქის დასუფთავება და ნარჩენების გატანა</v>
          </cell>
          <cell r="C33" t="str">
            <v>კეთილმოწყობა</v>
          </cell>
        </row>
        <row r="34">
          <cell r="A34" t="str">
            <v>03 03 02</v>
          </cell>
          <cell r="B34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4" t="str">
            <v>კეთილმოწყობა</v>
          </cell>
        </row>
        <row r="35">
          <cell r="A35" t="str">
            <v>03 03 06</v>
          </cell>
          <cell r="B35" t="str">
            <v>ქალაქის გაფორმების ღონისძიებები</v>
          </cell>
          <cell r="C35" t="str">
            <v>კეთილმოწყობა</v>
          </cell>
        </row>
        <row r="36">
          <cell r="A36" t="str">
            <v>03 03 07</v>
          </cell>
          <cell r="B36" t="str">
            <v>ბათუმის ისტორიული უბნებისა და ტურისტული ინფრასტრუქტურის რეაბილიტაცია</v>
          </cell>
          <cell r="C36" t="str">
            <v>კეთილმოწყობა</v>
          </cell>
        </row>
        <row r="37">
          <cell r="A37" t="str">
            <v>03 04</v>
          </cell>
          <cell r="B37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8">
          <cell r="A38" t="str">
            <v>03 04 01</v>
          </cell>
          <cell r="B38" t="str">
            <v>საცხოვრებელი სახლების მშენებლობა</v>
          </cell>
          <cell r="C38" t="str">
            <v>კეთილმოწყობა</v>
          </cell>
        </row>
        <row r="39">
          <cell r="A39" t="str">
            <v>07 01</v>
          </cell>
          <cell r="B39" t="str">
            <v>ქალაქის დაგეგმარება</v>
          </cell>
        </row>
        <row r="40">
          <cell r="A40" t="str">
            <v>07 01 01</v>
          </cell>
          <cell r="B40" t="str">
            <v>ქალაქის განვითარების გეგმის შედგენა</v>
          </cell>
          <cell r="C40" t="str">
            <v>არქიტექტურა</v>
          </cell>
        </row>
        <row r="41">
          <cell r="A41" t="str">
            <v>07 01 02</v>
          </cell>
          <cell r="B41" t="str">
            <v>საპროექტო-სახარჯთაღრიცხვო დოკუმენტაციის შედგენა</v>
          </cell>
          <cell r="C41" t="str">
            <v>კეთილმოწყობა</v>
          </cell>
        </row>
        <row r="42">
          <cell r="B42" t="str">
            <v>საკომპენსაციო თანხებით მოქალაქეთა უზრუნველყოფა</v>
          </cell>
          <cell r="C42" t="str">
            <v>ეკონომიკური</v>
          </cell>
        </row>
        <row r="43">
          <cell r="A43" t="str">
            <v>04 00</v>
          </cell>
          <cell r="B43" t="str">
            <v>განათლება</v>
          </cell>
        </row>
        <row r="44">
          <cell r="A44" t="str">
            <v>04 01</v>
          </cell>
          <cell r="B44" t="str">
            <v xml:space="preserve"> სკოლამდელი აღზრდა და განათლება       </v>
          </cell>
        </row>
        <row r="45">
          <cell r="A45" t="str">
            <v>04 01 02</v>
          </cell>
          <cell r="B45" t="str">
            <v>საბავშვო ბაღების შენობების რეაბილიტაცია</v>
          </cell>
          <cell r="C45" t="str">
            <v>კეთილმოწყობა</v>
          </cell>
        </row>
        <row r="46">
          <cell r="A46" t="str">
            <v>04 02</v>
          </cell>
          <cell r="B46" t="str">
            <v>პროფესიული განვითარებისა და უმაღლესი განათლების ხელშეწყობა</v>
          </cell>
        </row>
        <row r="47">
          <cell r="A47" t="str">
            <v>04 02 01</v>
          </cell>
          <cell r="B47" t="str">
            <v>პროფესიული განვითარების  ხელშეწყობა</v>
          </cell>
          <cell r="C47" t="str">
            <v>განათ. და კულტურა</v>
          </cell>
        </row>
        <row r="48">
          <cell r="A48" t="str">
            <v>04 02 02</v>
          </cell>
          <cell r="B48" t="str">
            <v>ლუკა ასათიანის სახელობის სტიპენდია წარმატებული სტუდენტებისათვის</v>
          </cell>
          <cell r="C48" t="str">
            <v>განათ. და კულტურა</v>
          </cell>
        </row>
        <row r="49">
          <cell r="A49" t="str">
            <v>04 02 03</v>
          </cell>
          <cell r="B49" t="str">
            <v>პროფესიული საგანმანათლებლო დაწესებულების განვითარების ხელშეწყობა</v>
          </cell>
          <cell r="C49" t="str">
            <v>კეთილმოწყობა</v>
          </cell>
        </row>
        <row r="50">
          <cell r="A50" t="str">
            <v>04 03</v>
          </cell>
          <cell r="B50" t="str">
            <v>ზოგადი განათლების ხელშეწყობა</v>
          </cell>
        </row>
        <row r="51">
          <cell r="A51" t="str">
            <v>04 03 01</v>
          </cell>
          <cell r="B51" t="str">
            <v>ინკლუზიური განათლების ხელშეწყობა</v>
          </cell>
          <cell r="C51" t="str">
            <v>განათ. და კულტურა</v>
          </cell>
        </row>
        <row r="52">
          <cell r="A52" t="str">
            <v>05 00</v>
          </cell>
          <cell r="B52" t="str">
            <v>კულტურა, რელიგია, ახალგაზრდობის ხელშეწყობა და სპორტი</v>
          </cell>
        </row>
        <row r="53">
          <cell r="A53" t="str">
            <v>05 01</v>
          </cell>
          <cell r="B53" t="str">
            <v>სპორტის განვითარების ხელშეწყობა</v>
          </cell>
        </row>
        <row r="54">
          <cell r="A54" t="str">
            <v>05 01 02</v>
          </cell>
          <cell r="B54" t="str">
            <v>საერთაშორისო სპორტული ღონისძიებების მხარდაჭერა</v>
          </cell>
          <cell r="C54" t="str">
            <v>ახალგაზ. და სპორტი</v>
          </cell>
        </row>
        <row r="55">
          <cell r="A55" t="str">
            <v>05 01 03</v>
          </cell>
          <cell r="B55" t="str">
            <v>ბათუმელი სპორტსმენების ინდივიდუალური განვითარების ხელშეწყობა</v>
          </cell>
          <cell r="C55" t="str">
            <v>ახალგაზ. და სპორტი</v>
          </cell>
        </row>
        <row r="56">
          <cell r="A56" t="str">
            <v>05 02</v>
          </cell>
          <cell r="B56" t="str">
            <v>მუნიციპალური სპორტული ინფრასტრუქტურის განვითარება და მოვლა-პატრონობა</v>
          </cell>
        </row>
        <row r="57">
          <cell r="A57" t="str">
            <v>05 02 02</v>
          </cell>
          <cell r="B57" t="str">
            <v>სასპორტო ინფრასტრუქტურის მშენებლობა და რეაბილიტაცია</v>
          </cell>
          <cell r="C57" t="str">
            <v>კეთილმოწყობა</v>
          </cell>
        </row>
        <row r="58">
          <cell r="A58" t="str">
            <v>05 03</v>
          </cell>
          <cell r="B58" t="str">
            <v>კულტურული ღონისძიებები და ფესტივალები</v>
          </cell>
        </row>
        <row r="59">
          <cell r="A59" t="str">
            <v>05 03 04</v>
          </cell>
          <cell r="B59" t="str">
            <v>საერთაშორისო ფესტივალების მხარდაჭერა</v>
          </cell>
          <cell r="C59" t="str">
            <v>განათ. და კულტურა</v>
          </cell>
        </row>
        <row r="60">
          <cell r="A60" t="str">
            <v>05 03 05</v>
          </cell>
          <cell r="B60" t="str">
            <v>კულტურის სფეროში თავისუფალი ინიციატივების მხარდაჭერა</v>
          </cell>
          <cell r="C60" t="str">
            <v>განათ. და კულტურა</v>
          </cell>
        </row>
        <row r="61">
          <cell r="A61" t="str">
            <v>05 04</v>
          </cell>
          <cell r="B61" t="str">
            <v>კულტურულ-საგანმანათლებლო საქმიანობის ხელშეწყობა</v>
          </cell>
        </row>
        <row r="62">
          <cell r="A62" t="str">
            <v>05 04 04</v>
          </cell>
          <cell r="B62" t="str">
            <v>ხელოვანთა ხელშეწყობა</v>
          </cell>
          <cell r="C62" t="str">
            <v>განათ. და კულტურა</v>
          </cell>
        </row>
        <row r="63">
          <cell r="A63" t="str">
            <v>05 05</v>
          </cell>
          <cell r="B63" t="str">
            <v>კულტურული მემკვიდრეობის დაცვა და განვითარება</v>
          </cell>
        </row>
        <row r="64">
          <cell r="A64" t="str">
            <v>05 05 01</v>
          </cell>
          <cell r="B64" t="str">
            <v>კულტურული მემკვიდრეობის ძეგლების რეაბილიტაცია</v>
          </cell>
          <cell r="C64" t="str">
            <v>კეთილმოწყობა</v>
          </cell>
        </row>
        <row r="65">
          <cell r="A65" t="str">
            <v>05 05 02</v>
          </cell>
          <cell r="B65" t="str">
            <v>კულტურული მემკვიდრეობის დაცვა</v>
          </cell>
          <cell r="C65" t="str">
            <v>კეთილმოწყობა</v>
          </cell>
        </row>
        <row r="66">
          <cell r="A66" t="str">
            <v>05 05 03</v>
          </cell>
          <cell r="B66" t="str">
            <v>მემორიალების პროექტების შედგენა</v>
          </cell>
          <cell r="C66" t="str">
            <v>განათ. და კულტურა</v>
          </cell>
        </row>
        <row r="67">
          <cell r="A67" t="str">
            <v>05 06</v>
          </cell>
          <cell r="B67" t="str">
            <v>ახალგაზრდობის განვითარების ხელშეწყობა</v>
          </cell>
        </row>
        <row r="68">
          <cell r="A68" t="str">
            <v>05 06 01</v>
          </cell>
          <cell r="B68" t="str">
            <v>ახალგაზრდული ცენტრი</v>
          </cell>
          <cell r="C68" t="str">
            <v>ახალგაზ. და სპორტი</v>
          </cell>
        </row>
        <row r="69">
          <cell r="A69" t="str">
            <v>05 06 02</v>
          </cell>
          <cell r="B69" t="str">
            <v>ინტელექტუალური და შემეცნებითი პროექტების მხარდაჭერა</v>
          </cell>
          <cell r="C69" t="str">
            <v>ახალგაზ. და სპორტი</v>
          </cell>
        </row>
        <row r="70">
          <cell r="A70" t="str">
            <v>05 06 03</v>
          </cell>
          <cell r="B70" t="str">
            <v>სტუდენტური საზაფხულო დასაქმება</v>
          </cell>
          <cell r="C70" t="str">
            <v>ახალგაზ. და სპორტი</v>
          </cell>
        </row>
        <row r="71">
          <cell r="A71" t="str">
            <v>06 00</v>
          </cell>
          <cell r="B71" t="str">
            <v>მოსახლეობის ჯანმრთელობისა დაცვა და  სოციალური უზრუნველყოფა</v>
          </cell>
        </row>
        <row r="72">
          <cell r="A72" t="str">
            <v>06 01</v>
          </cell>
          <cell r="B72" t="str">
            <v>ჯანმრთელობის დაცვა</v>
          </cell>
        </row>
        <row r="73">
          <cell r="A73" t="str">
            <v>06 01 01</v>
          </cell>
          <cell r="B73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3" t="str">
            <v>ჯანდაცვა</v>
          </cell>
        </row>
        <row r="74">
          <cell r="A74" t="str">
            <v>06 01 02</v>
          </cell>
          <cell r="B74" t="str">
            <v>ონკოლოგიურ დაავადებათა ადრეული ფორმების დიაგნოსტიკა და პრევენცია</v>
          </cell>
          <cell r="C74" t="str">
            <v>ჯანდაცვა</v>
          </cell>
        </row>
        <row r="75">
          <cell r="A75" t="str">
            <v>06 01 04</v>
          </cell>
          <cell r="B75" t="str">
            <v>ფსიქიური პრობლემების მქონე პირთა ფსიქო-სოციალური რეაბილიტაცია</v>
          </cell>
          <cell r="C75" t="str">
            <v>ჯანდაცვა</v>
          </cell>
        </row>
        <row r="76">
          <cell r="A76" t="str">
            <v>06 01 05</v>
          </cell>
          <cell r="B76" t="str">
            <v>მოწყვლადი ჯგუფების სტომატოლოგიური და  ორთოპედიული  მომსახურეობა</v>
          </cell>
          <cell r="C76" t="str">
            <v>ჯანდაცვა</v>
          </cell>
        </row>
        <row r="77">
          <cell r="A77" t="str">
            <v>06 01 07</v>
          </cell>
          <cell r="B77" t="str">
            <v>შ.შ.მ. სტატუსის ბავშვთა და ვეტერანთა საკურორტო სამკურნალო-რეაბილიტაცია</v>
          </cell>
          <cell r="C77" t="str">
            <v>ჯანდაცვა</v>
          </cell>
        </row>
        <row r="78">
          <cell r="A78" t="str">
            <v>06 01 08</v>
          </cell>
          <cell r="B78" t="str">
            <v>ქრონიკული დაავადებების მქონე პაციენტთა მონიტორინგი და დიაგნოსტიკა</v>
          </cell>
          <cell r="C78" t="str">
            <v>ჯანდაცვა</v>
          </cell>
        </row>
        <row r="79">
          <cell r="A79" t="str">
            <v>06 01 09</v>
          </cell>
          <cell r="B79" t="str">
            <v>ახალშობილთა და ბავშვთა განვითარების შეფერხების პრევენცია და რეაბილიტაცია</v>
          </cell>
          <cell r="C79" t="str">
            <v>ჯანდაცვა</v>
          </cell>
        </row>
        <row r="80">
          <cell r="A80" t="str">
            <v>06 01 10</v>
          </cell>
          <cell r="B80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81">
          <cell r="A81" t="str">
            <v>06 01 14</v>
          </cell>
          <cell r="B81" t="str">
            <v>თემზე დაფუძნებული მობილური გუნდის მომსახურება</v>
          </cell>
          <cell r="C81" t="str">
            <v>ჯანდაცვა</v>
          </cell>
        </row>
        <row r="82">
          <cell r="A82" t="str">
            <v>06 02</v>
          </cell>
          <cell r="B82" t="str">
            <v>სოციალური უზრუნველყოფა</v>
          </cell>
        </row>
        <row r="83">
          <cell r="A83" t="str">
            <v>06 02 01</v>
          </cell>
          <cell r="B83" t="str">
            <v xml:space="preserve">კომუნალური მომსახურების საფასურის სუბსიდირება </v>
          </cell>
          <cell r="C83" t="str">
            <v>სოციალური</v>
          </cell>
        </row>
        <row r="84">
          <cell r="A84" t="str">
            <v>06 02 04</v>
          </cell>
          <cell r="B84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4" t="str">
            <v>სოციალური</v>
          </cell>
        </row>
        <row r="85">
          <cell r="A85" t="str">
            <v>06 02 10</v>
          </cell>
          <cell r="B85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5" t="str">
            <v>სოციალური</v>
          </cell>
        </row>
        <row r="86">
          <cell r="A86" t="str">
            <v>06 02 11</v>
          </cell>
          <cell r="B86" t="str">
            <v>შეზღუდული შესაძლებლობების მქონე პირების ასისტენტით მომსახურება</v>
          </cell>
          <cell r="C86" t="str">
            <v>სოციალური</v>
          </cell>
        </row>
        <row r="87">
          <cell r="A87" t="str">
            <v>06 03</v>
          </cell>
          <cell r="B87" t="str">
            <v>სანიტარიული ზედამხედველობა და ეპიდსიტუაციის მართვა</v>
          </cell>
        </row>
        <row r="88">
          <cell r="A88" t="str">
            <v>06 03 01</v>
          </cell>
          <cell r="B88" t="str">
            <v>ბათუმის ტერიტორიაზე არსებული დაწესებულებების სანიტარული მონიტორინგი</v>
          </cell>
          <cell r="C88" t="str">
            <v>სანიტარული</v>
          </cell>
        </row>
        <row r="89">
          <cell r="A89" t="str">
            <v>06 03 02</v>
          </cell>
          <cell r="B89" t="str">
            <v>დეზინსექცია დერატიზაციის ღონისძიებები</v>
          </cell>
          <cell r="C89" t="str">
            <v>სანიტარული</v>
          </cell>
        </row>
        <row r="90">
          <cell r="A90" t="str">
            <v>06 03 03</v>
          </cell>
          <cell r="B90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90" t="str">
            <v>სანიტარული</v>
          </cell>
        </row>
        <row r="91">
          <cell r="A91" t="str">
            <v>07 00</v>
          </cell>
          <cell r="B91" t="str">
            <v>ქალაქის ეკონომიკური და ურბანული განვითარება</v>
          </cell>
        </row>
        <row r="92">
          <cell r="A92" t="str">
            <v>07 01 01</v>
          </cell>
          <cell r="B92" t="str">
            <v>ქალაქმშენებლობითი დოკუმენტაციის შედგენა</v>
          </cell>
          <cell r="C92" t="str">
            <v>ქალაქგანვითარებისა და ურბანული პოლიტიკის სამსახური</v>
          </cell>
        </row>
        <row r="93">
          <cell r="A93" t="str">
            <v>07 01 02</v>
          </cell>
          <cell r="B93" t="str">
            <v>საპროექტო-სახარჯთაღრიცხვო დოკუმენტაციის შედგენა</v>
          </cell>
          <cell r="C93" t="str">
            <v>საფინანსო-საბიუჯეტო სამსახური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მუნიციპალური პოლიტიკის სამსახური</v>
          </cell>
        </row>
        <row r="95">
          <cell r="A95" t="str">
            <v>07 02 04</v>
          </cell>
          <cell r="B95" t="str">
            <v>ეკონომიკური ფორუმების ორგანიზება</v>
          </cell>
          <cell r="C95" t="str">
            <v>მუნიციპალური პოლიტიკის სამსახური</v>
          </cell>
        </row>
        <row r="96">
          <cell r="A96" t="str">
            <v>07 02 05</v>
          </cell>
          <cell r="B96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6" t="str">
            <v>მუნიციპალური პოლიტიკის სამსახური</v>
          </cell>
        </row>
        <row r="97">
          <cell r="A97" t="str">
            <v>08 00</v>
          </cell>
          <cell r="B97" t="str">
            <v>მუნიციპალური სერვისების განვითარება</v>
          </cell>
        </row>
        <row r="98">
          <cell r="A98" t="str">
            <v>08 01 04</v>
          </cell>
          <cell r="B98" t="str">
            <v>თვითმმართველობის საკუთრებაში არსებული ქონების მართვა</v>
          </cell>
          <cell r="C98" t="str">
            <v>მუნიციპალური ქონების და სერვისების მართვის სამსახური</v>
          </cell>
        </row>
        <row r="99">
          <cell r="A99" t="str">
            <v>08 02 01</v>
          </cell>
          <cell r="B99" t="str">
            <v>მონაწილეობითი ბიუჯეტით შერჩეული პროექტების დაფინანსება</v>
          </cell>
          <cell r="C99" t="str">
            <v>საფინანსო-საბიუჯეტო სამსახური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>
            <v>0</v>
          </cell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>
            <v>0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>
            <v>0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>
            <v>0</v>
          </cell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>
            <v>0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>
            <v>0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>
            <v>0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>
            <v>0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>
            <v>0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>
            <v>0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>
            <v>0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>
            <v>0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>
            <v>0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>
            <v>0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>
            <v>0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>
            <v>0</v>
          </cell>
        </row>
        <row r="69">
          <cell r="A69" t="str">
            <v>06 01</v>
          </cell>
          <cell r="B69" t="str">
            <v>ჯანმრთელობის დაცვა</v>
          </cell>
          <cell r="C69">
            <v>0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>
            <v>0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>
            <v>0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>
            <v>0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>
            <v>0</v>
          </cell>
        </row>
        <row r="89">
          <cell r="A89" t="str">
            <v>07 01</v>
          </cell>
          <cell r="B89" t="str">
            <v>ქალაქის დაგეგმარება</v>
          </cell>
          <cell r="C89">
            <v>0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>
            <v>0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>
            <v>0</v>
          </cell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>
            <v>0</v>
          </cell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>
            <v>0</v>
          </cell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>
            <v>0</v>
          </cell>
        </row>
        <row r="100">
          <cell r="A100">
            <v>0</v>
          </cell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н резерви 5 тве "/>
      <sheetName val="чарби 5 тве"/>
      <sheetName val="мин резерви 6"/>
      <sheetName val="чарби 6"/>
      <sheetName val="чарби 7"/>
      <sheetName val="мин резерви  7"/>
      <sheetName val="чарби 8"/>
      <sheetName val="мин резерви 8 "/>
      <sheetName val="мосалоднели чарби "/>
      <sheetName val="мин резерви"/>
      <sheetName val="чарби"/>
      <sheetName val="Лист1"/>
      <sheetName val="чамонатвали"/>
      <sheetName val="реестри"/>
      <sheetName val="реестри (2)"/>
      <sheetName val="Г С"/>
      <sheetName val="гардамав"/>
      <sheetName val="Лист3"/>
      <sheetName val="капита "/>
      <sheetName val="Лист2"/>
      <sheetName val="економиа"/>
      <sheetName val="узен  резерв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2">
          <cell r="F62">
            <v>5323866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(2)"/>
      <sheetName val="гегма"/>
      <sheetName val="ФОРМА"/>
      <sheetName val="N1"/>
      <sheetName val="N1-1"/>
      <sheetName val="N1-2"/>
      <sheetName val="N1-4"/>
      <sheetName val="N1-3"/>
      <sheetName val="N1-5"/>
      <sheetName val="N2"/>
      <sheetName val="N2-1"/>
      <sheetName val="N2-2"/>
      <sheetName val="N2-3"/>
      <sheetName val="N 3"/>
      <sheetName val="N3-1"/>
      <sheetName val="N3-2"/>
      <sheetName val="N3-3"/>
      <sheetName val="N3-5"/>
      <sheetName val="N3-4"/>
      <sheetName val="N3-6"/>
      <sheetName val="N3-7"/>
      <sheetName val="N3-8"/>
      <sheetName val="N3-9"/>
      <sheetName val="дацмух назард"/>
      <sheetName val="дацмух"/>
      <sheetName val="sul"/>
      <sheetName val="2001-200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mber"/>
      <sheetName val="november"/>
      <sheetName val="december"/>
      <sheetName val="total 1"/>
      <sheetName val="ФОРМА"/>
      <sheetName val="ФОРМА (3)"/>
      <sheetName val="ФОРМА (2)"/>
      <sheetName val="ФОРМА (4)"/>
      <sheetName val="гег факти дарг"/>
      <sheetName val="total 1 (2)"/>
      <sheetName val="total 1 (3)"/>
      <sheetName val="total 1 (4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/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/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/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/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/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/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/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/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/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/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/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/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/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/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/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/>
        </row>
        <row r="69">
          <cell r="A69" t="str">
            <v>06 01</v>
          </cell>
          <cell r="B69" t="str">
            <v>ჯანმრთელობის დაცვა</v>
          </cell>
          <cell r="C69"/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/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/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/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/>
        </row>
        <row r="89">
          <cell r="A89" t="str">
            <v>07 01</v>
          </cell>
          <cell r="B89" t="str">
            <v>ქალაქის დაგეგმარება</v>
          </cell>
          <cell r="C89"/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/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/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/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/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/>
        </row>
        <row r="100">
          <cell r="A100"/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/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/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/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/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/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/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/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/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/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/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/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/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/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/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/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/>
        </row>
        <row r="69">
          <cell r="A69" t="str">
            <v>06 01</v>
          </cell>
          <cell r="B69" t="str">
            <v>ჯანმრთელობის დაცვა</v>
          </cell>
          <cell r="C69"/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/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/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/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/>
        </row>
        <row r="89">
          <cell r="A89" t="str">
            <v>07 01</v>
          </cell>
          <cell r="B89" t="str">
            <v>ქალაქის დაგეგმარება</v>
          </cell>
          <cell r="C89"/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/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/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/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/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/>
        </row>
        <row r="100">
          <cell r="A100"/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 refreshError="1"/>
      <sheetData sheetId="1" refreshError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</row>
        <row r="69">
          <cell r="A69" t="str">
            <v>06 01</v>
          </cell>
          <cell r="B69" t="str">
            <v>ჯანმრთელობის დაცვა</v>
          </cell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</row>
        <row r="89">
          <cell r="A89" t="str">
            <v>07 01</v>
          </cell>
          <cell r="B89" t="str">
            <v>ქალაქის დაგეგმარება</v>
          </cell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</row>
        <row r="100"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ეგმა 2019"/>
      <sheetName val="list"/>
      <sheetName val="budget"/>
    </sheetNames>
    <sheetDataSet>
      <sheetData sheetId="0"/>
      <sheetData sheetId="1"/>
      <sheetData sheetId="2">
        <row r="2">
          <cell r="A2" t="str">
            <v>01 00</v>
          </cell>
          <cell r="B2" t="str">
            <v>წარმომადგენლობითი და აღმასრულებელი ორგანოების დაფინანსება</v>
          </cell>
        </row>
        <row r="3">
          <cell r="A3" t="str">
            <v>01 02</v>
          </cell>
          <cell r="B3" t="str">
            <v>ქალაქ ბათუმის მუნიციპალიტეტის მერია</v>
          </cell>
          <cell r="C3" t="str">
            <v>აპარატი</v>
          </cell>
        </row>
        <row r="4">
          <cell r="A4" t="str">
            <v>01 02 01</v>
          </cell>
          <cell r="B4" t="str">
            <v>ქალაქ ბათუმის მუნიციპალიტეტის მერია</v>
          </cell>
          <cell r="C4" t="str">
            <v>აპარატი - მატერ-ტექნიკ.</v>
          </cell>
        </row>
        <row r="5">
          <cell r="A5" t="str">
            <v>01 02 02</v>
          </cell>
          <cell r="B5" t="str">
            <v>ქალაქ ბათუმის მუნიციპალიტეტის მერია</v>
          </cell>
          <cell r="C5" t="str">
            <v>აპარატი - IT</v>
          </cell>
        </row>
        <row r="6">
          <cell r="A6" t="str">
            <v>01 02 03</v>
          </cell>
          <cell r="B6" t="str">
            <v>ქალაქ ბათუმის მუნიციპალიტეტის მერია</v>
          </cell>
          <cell r="C6" t="str">
            <v>აპარატი - საქმისწარმოება</v>
          </cell>
        </row>
        <row r="7">
          <cell r="A7" t="str">
            <v>01 02 04</v>
          </cell>
          <cell r="B7" t="str">
            <v>ქალაქ ბათუმის მუნიციპალიტეტის მერია</v>
          </cell>
          <cell r="C7" t="str">
            <v>აპარატი - იურიდიული</v>
          </cell>
        </row>
        <row r="8">
          <cell r="A8" t="str">
            <v>01 02 05</v>
          </cell>
          <cell r="B8" t="str">
            <v>ქალაქ ბათუმის მუნიციპალიტეტის მერია</v>
          </cell>
          <cell r="C8" t="str">
            <v>აპარატი - PR</v>
          </cell>
        </row>
        <row r="9">
          <cell r="A9" t="str">
            <v>01 02 11</v>
          </cell>
          <cell r="B9" t="str">
            <v>ქალაქ ბათუმის მუნიციპალიტეტის მერია</v>
          </cell>
          <cell r="C9" t="str">
            <v>აპარატი - შესყიდვები</v>
          </cell>
        </row>
        <row r="10">
          <cell r="A10" t="str">
            <v>01 02 12</v>
          </cell>
          <cell r="B10" t="str">
            <v>ქალაქ ბათუმის მუნიციპალიტეტის მერია</v>
          </cell>
          <cell r="C10" t="str">
            <v>აპარატი - HR</v>
          </cell>
        </row>
        <row r="11">
          <cell r="A11" t="str">
            <v>01 02 06</v>
          </cell>
          <cell r="B11" t="str">
            <v>ქალაქ ბათუმის მუნიციპალიტეტის მერია</v>
          </cell>
          <cell r="C11" t="str">
            <v>აპარატი - პროტოკოლი</v>
          </cell>
        </row>
        <row r="12">
          <cell r="A12" t="str">
            <v>01 02 07</v>
          </cell>
          <cell r="B12" t="str">
            <v>ქალაქ ბათუმის მუნიციპალიტეტის მერია</v>
          </cell>
          <cell r="C12" t="str">
            <v>ზედამხედველობა</v>
          </cell>
        </row>
        <row r="13">
          <cell r="A13" t="str">
            <v>01 02 08</v>
          </cell>
          <cell r="B13" t="str">
            <v>ქალაქ ბათუმის მუნიციპალიტეტის მერია</v>
          </cell>
          <cell r="C13" t="str">
            <v>საფინანსო</v>
          </cell>
        </row>
        <row r="14">
          <cell r="A14"/>
          <cell r="B14" t="str">
            <v>ქალაქ ბათუმის მუნიციპალიტეტის მერია</v>
          </cell>
          <cell r="C14" t="str">
            <v>ეკონომიკური</v>
          </cell>
        </row>
        <row r="15">
          <cell r="A15" t="str">
            <v>01 07</v>
          </cell>
          <cell r="B15" t="str">
            <v>საზოგადოების ინფორმირებულობის ამაღლება</v>
          </cell>
          <cell r="C15" t="str">
            <v>აპარატი - PR</v>
          </cell>
        </row>
        <row r="16">
          <cell r="A16" t="str">
            <v>01 08</v>
          </cell>
          <cell r="B16" t="str">
            <v>მუნიციპალიტეტის საჯარო მოსამსახურეთა პროფესიული განვითარება</v>
          </cell>
          <cell r="C16" t="str">
            <v>აპარატი - HR</v>
          </cell>
        </row>
        <row r="17">
          <cell r="A17" t="str">
            <v>01 01</v>
          </cell>
          <cell r="B17" t="str">
            <v>ქალაქ ბათუმის მუნიციპალიტეტის საკრებულო</v>
          </cell>
          <cell r="C17" t="str">
            <v>საკრებულო</v>
          </cell>
        </row>
        <row r="18">
          <cell r="A18" t="str">
            <v>01 06</v>
          </cell>
          <cell r="B18" t="str">
            <v>წვევამდელთა ტრანსპორტირება</v>
          </cell>
          <cell r="C18" t="str">
            <v>სამხედრო</v>
          </cell>
        </row>
        <row r="19">
          <cell r="A19" t="str">
            <v>03 00</v>
          </cell>
          <cell r="B19" t="str">
            <v>ინფრასტრუქტურისა და მუნიციპალური კომუნალური სერვისების განვითარება</v>
          </cell>
          <cell r="C19"/>
        </row>
        <row r="20">
          <cell r="A20" t="str">
            <v>03 01</v>
          </cell>
          <cell r="B20" t="str">
            <v>საგზაო ინფრასტრუქტურის განვითარება</v>
          </cell>
          <cell r="C20"/>
        </row>
        <row r="21">
          <cell r="A21" t="str">
            <v>03 01 01</v>
          </cell>
          <cell r="B21" t="str">
            <v>გზების, ქუჩებისა და ტროტუარების მიმდინარე მოვლა-პატრონობა</v>
          </cell>
          <cell r="C21" t="str">
            <v>კეთილმოწყობა</v>
          </cell>
        </row>
        <row r="22">
          <cell r="A22" t="str">
            <v>03 01 02</v>
          </cell>
          <cell r="B22" t="str">
            <v>საგზაო ინფრასტრუქტურის რეაბილიტაცია და კაპიტალური მშენებლობა</v>
          </cell>
          <cell r="C22" t="str">
            <v>კეთილმოწყობა</v>
          </cell>
        </row>
        <row r="23">
          <cell r="A23" t="str">
            <v>03 01 03</v>
          </cell>
          <cell r="B23" t="str">
            <v>გარე განათების ქსელის განვითარება და მოვლა-პატრონობა</v>
          </cell>
          <cell r="C23" t="str">
            <v>კეთილმოწყობა</v>
          </cell>
        </row>
        <row r="24">
          <cell r="A24" t="str">
            <v>03 02</v>
          </cell>
          <cell r="B24" t="str">
            <v>საბაზისო კომუნალური ინფრასტრუქტურის განვითარება</v>
          </cell>
        </row>
        <row r="25">
          <cell r="A25" t="str">
            <v>03 02 01</v>
          </cell>
          <cell r="B25" t="str">
            <v>სანიაღვრე სისტემების რეაბილიტაცია და მოვლა-პატრონობა</v>
          </cell>
          <cell r="C25" t="str">
            <v>კეთილმოწყობა</v>
          </cell>
        </row>
        <row r="26">
          <cell r="A26" t="str">
            <v>03 02 02</v>
          </cell>
          <cell r="B26" t="str">
            <v>წყლის სისტემების რეაბილიტაცია</v>
          </cell>
          <cell r="C26" t="str">
            <v>კეთილმოწყობა</v>
          </cell>
        </row>
        <row r="27">
          <cell r="A27" t="str">
            <v>03 02 03</v>
          </cell>
          <cell r="B27" t="str">
            <v>კანალიზაციის სისტემების რეაბილიტაცია</v>
          </cell>
          <cell r="C27" t="str">
            <v>კეთილმოწყობა</v>
          </cell>
        </row>
        <row r="28">
          <cell r="A28" t="str">
            <v>03 02 04</v>
          </cell>
          <cell r="B28" t="str">
            <v>ბათუმში კომუნალური ინფრასტრუქტურის დაწესებულებათა რეაბილიტაციის პროექტის თანადაფინანსება</v>
          </cell>
          <cell r="C28" t="str">
            <v>კეთილმოწყობა</v>
          </cell>
        </row>
        <row r="29">
          <cell r="A29" t="str">
            <v>03 03</v>
          </cell>
          <cell r="B29" t="str">
            <v>ეკოლოგიური მდგომარეობის გაუმჯობესება და სარეკრეაციო ინფრასტრუქტურის განვითარება</v>
          </cell>
        </row>
        <row r="30">
          <cell r="A30" t="str">
            <v>03 03 01</v>
          </cell>
          <cell r="B30" t="str">
            <v>ქალაქის დასუფთავება და ნარჩენების გატანა</v>
          </cell>
          <cell r="C30" t="str">
            <v>კეთილმოწყობა</v>
          </cell>
        </row>
        <row r="31">
          <cell r="A31" t="str">
            <v>03 03 02</v>
          </cell>
          <cell r="B31" t="str">
            <v>პარკების, სკვერებისა და მოედნების ინფრასტრუქტურის რეაბილიტაცია და მშენებლობა</v>
          </cell>
          <cell r="C31" t="str">
            <v>კეთილმოწყობა</v>
          </cell>
        </row>
        <row r="32">
          <cell r="A32" t="str">
            <v>03 03 06</v>
          </cell>
          <cell r="B32" t="str">
            <v>ქალაქის გაფორმების ღონისძიებები</v>
          </cell>
          <cell r="C32" t="str">
            <v>კეთილმოწყობა</v>
          </cell>
        </row>
        <row r="33">
          <cell r="A33" t="str">
            <v>03 03 07</v>
          </cell>
          <cell r="B33" t="str">
            <v>ბათუმის ისტორიული უბნებისა და ტურისტული ინფრასტრუქტურის რეაბილიტაცია</v>
          </cell>
          <cell r="C33" t="str">
            <v>კეთილმოწყობა</v>
          </cell>
        </row>
        <row r="34">
          <cell r="A34" t="str">
            <v>03 04</v>
          </cell>
          <cell r="B34" t="str">
            <v>ბინათმესაკუთრეთა ამხანაგობების მხარდაჭერა, ბინათმშენებლობა და ავარიული შენობების რეაბილიტაცია, დემონტაჟი</v>
          </cell>
        </row>
        <row r="35">
          <cell r="A35" t="str">
            <v>03 04 01</v>
          </cell>
          <cell r="B35" t="str">
            <v>საცხოვრებელი სახლების მშენებლობა</v>
          </cell>
          <cell r="C35" t="str">
            <v>კეთილმოწყობა</v>
          </cell>
        </row>
        <row r="36">
          <cell r="A36" t="str">
            <v>07 01</v>
          </cell>
          <cell r="B36" t="str">
            <v>ქალაქის დაგეგმარება</v>
          </cell>
        </row>
        <row r="37">
          <cell r="A37" t="str">
            <v>07 01 01</v>
          </cell>
          <cell r="B37" t="str">
            <v>ქალაქის განვითარების გეგმის შედგენა</v>
          </cell>
          <cell r="C37" t="str">
            <v>არქიტექტურა</v>
          </cell>
        </row>
        <row r="38">
          <cell r="A38" t="str">
            <v>07 01 02</v>
          </cell>
          <cell r="B38" t="str">
            <v>საპროექტო-სახარჯთაღრიცხვო დოკუმენტაციის შედგენა</v>
          </cell>
          <cell r="C38" t="str">
            <v>კეთილმოწყობა</v>
          </cell>
        </row>
        <row r="39">
          <cell r="A39"/>
          <cell r="B39" t="str">
            <v>საკომპენსაციო თანხებით მოქალაქეთა უზრუნველყოფა</v>
          </cell>
          <cell r="C39" t="str">
            <v>ეკონომიკური</v>
          </cell>
        </row>
        <row r="40">
          <cell r="A40" t="str">
            <v>04 00</v>
          </cell>
          <cell r="B40" t="str">
            <v>განათლება</v>
          </cell>
          <cell r="C40"/>
        </row>
        <row r="41">
          <cell r="A41" t="str">
            <v>04 01</v>
          </cell>
          <cell r="B41" t="str">
            <v xml:space="preserve"> სკოლამდელი აღზრდა და განათლება       </v>
          </cell>
          <cell r="C41"/>
        </row>
        <row r="42">
          <cell r="A42" t="str">
            <v>04 01 02</v>
          </cell>
          <cell r="B42" t="str">
            <v>საბავშვო ბაღების შენობების რეაბილიტაცია</v>
          </cell>
          <cell r="C42" t="str">
            <v>კეთილმოწყობა</v>
          </cell>
        </row>
        <row r="43">
          <cell r="A43" t="str">
            <v>04 02</v>
          </cell>
          <cell r="B43" t="str">
            <v>პროფესიული განვითარებისა და უმაღლესი განათლების ხელშეწყობა</v>
          </cell>
          <cell r="C43"/>
        </row>
        <row r="44">
          <cell r="A44" t="str">
            <v>04 02 01</v>
          </cell>
          <cell r="B44" t="str">
            <v>პროფესიული განვითარების  ხელშეწყობა</v>
          </cell>
          <cell r="C44" t="str">
            <v>განათ. და კულტურა</v>
          </cell>
        </row>
        <row r="45">
          <cell r="A45" t="str">
            <v>04 02 02</v>
          </cell>
          <cell r="B45" t="str">
            <v>ლუკა ასათიანის სახელობის სტიპენდია წარმატებული სტუდენტებისათვის</v>
          </cell>
          <cell r="C45" t="str">
            <v>განათ. და კულტურა</v>
          </cell>
        </row>
        <row r="46">
          <cell r="A46" t="str">
            <v>04 02 03</v>
          </cell>
          <cell r="B46" t="str">
            <v>პროფესიული საგანმანათლებლო დაწესებულების განვითარების ხელშეწყობა</v>
          </cell>
          <cell r="C46" t="str">
            <v>კეთილმოწყობა</v>
          </cell>
        </row>
        <row r="47">
          <cell r="A47" t="str">
            <v>04 03</v>
          </cell>
          <cell r="B47" t="str">
            <v>ზოგადი განათლების ხელშეწყობა</v>
          </cell>
          <cell r="C47"/>
        </row>
        <row r="48">
          <cell r="A48" t="str">
            <v>04 03 01</v>
          </cell>
          <cell r="B48" t="str">
            <v>ინკლუზიური განათლების ხელშეწყობა</v>
          </cell>
          <cell r="C48" t="str">
            <v>განათ. და კულტურა</v>
          </cell>
        </row>
        <row r="49">
          <cell r="A49" t="str">
            <v>05 00</v>
          </cell>
          <cell r="B49" t="str">
            <v>კულტურა, რელიგია, ახალგაზრდობის ხელშეწყობა და სპორტი</v>
          </cell>
          <cell r="C49"/>
        </row>
        <row r="50">
          <cell r="A50" t="str">
            <v>05 01</v>
          </cell>
          <cell r="B50" t="str">
            <v>სპორტის განვითარების ხელშეწყობა</v>
          </cell>
          <cell r="C50"/>
        </row>
        <row r="51">
          <cell r="A51" t="str">
            <v>05 01 02</v>
          </cell>
          <cell r="B51" t="str">
            <v>საერთაშორისო სპორტული ღონისძიებების მხარდაჭერა</v>
          </cell>
          <cell r="C51" t="str">
            <v>ახალგაზ. და სპორტი</v>
          </cell>
        </row>
        <row r="52">
          <cell r="A52" t="str">
            <v>05 01 03</v>
          </cell>
          <cell r="B52" t="str">
            <v>ბათუმელი სპორტსმენების ინდივიდუალური განვითარების ხელშეწყობა</v>
          </cell>
          <cell r="C52" t="str">
            <v>ახალგაზ. და სპორტი</v>
          </cell>
        </row>
        <row r="53">
          <cell r="A53" t="str">
            <v>05 02</v>
          </cell>
          <cell r="B53" t="str">
            <v>მუნიციპალური სპორტული ინფრასტრუქტურის განვითარება და მოვლა-პატრონობა</v>
          </cell>
          <cell r="C53"/>
        </row>
        <row r="54">
          <cell r="A54" t="str">
            <v>05 02 02</v>
          </cell>
          <cell r="B54" t="str">
            <v>სასპორტო ინფრასტრუქტურის მშენებლობა და რეაბილიტაცია</v>
          </cell>
          <cell r="C54" t="str">
            <v>კეთილმოწყობა</v>
          </cell>
        </row>
        <row r="55">
          <cell r="A55" t="str">
            <v>05 03</v>
          </cell>
          <cell r="B55" t="str">
            <v>კულტურული ღონისძიებები და ფესტივალები</v>
          </cell>
          <cell r="C55"/>
        </row>
        <row r="56">
          <cell r="A56" t="str">
            <v>05 03 04</v>
          </cell>
          <cell r="B56" t="str">
            <v>საერთაშორისო ფესტივალების მხარდაჭერა</v>
          </cell>
          <cell r="C56" t="str">
            <v>განათ. და კულტურა</v>
          </cell>
        </row>
        <row r="57">
          <cell r="A57" t="str">
            <v>05 03 05</v>
          </cell>
          <cell r="B57" t="str">
            <v>კულტურის სფეროში თავისუფალი ინიციატივების მხარდაჭერა</v>
          </cell>
          <cell r="C57" t="str">
            <v>განათ. და კულტურა</v>
          </cell>
        </row>
        <row r="58">
          <cell r="A58" t="str">
            <v>05 04</v>
          </cell>
          <cell r="B58" t="str">
            <v>კულტურულ-საგანმანათლებლო საქმიანობის ხელშეწყობა</v>
          </cell>
          <cell r="C58"/>
        </row>
        <row r="59">
          <cell r="A59" t="str">
            <v>05 04 04</v>
          </cell>
          <cell r="B59" t="str">
            <v>ხელოვანთა ხელშეწყობა</v>
          </cell>
          <cell r="C59" t="str">
            <v>განათ. და კულტურა</v>
          </cell>
        </row>
        <row r="60">
          <cell r="A60" t="str">
            <v>05 05</v>
          </cell>
          <cell r="B60" t="str">
            <v>კულტურული მემკვიდრეობის დაცვა და განვითარება</v>
          </cell>
          <cell r="C60"/>
        </row>
        <row r="61">
          <cell r="A61" t="str">
            <v>05 05 01</v>
          </cell>
          <cell r="B61" t="str">
            <v>კულტურული მემკვიდრეობის ძეგლების რეაბილიტაცია</v>
          </cell>
          <cell r="C61" t="str">
            <v>კეთილმოწყობა</v>
          </cell>
        </row>
        <row r="62">
          <cell r="A62" t="str">
            <v>05 05 02</v>
          </cell>
          <cell r="B62" t="str">
            <v>კულტურული მემკვიდრეობის დაცვა</v>
          </cell>
          <cell r="C62" t="str">
            <v>არქიტექტურა</v>
          </cell>
        </row>
        <row r="63">
          <cell r="A63" t="str">
            <v>05 05 03</v>
          </cell>
          <cell r="B63" t="str">
            <v>მემორიალების პროექტების შედგენა</v>
          </cell>
          <cell r="C63" t="str">
            <v>განათ. და კულტურა</v>
          </cell>
        </row>
        <row r="64">
          <cell r="A64" t="str">
            <v>05 06</v>
          </cell>
          <cell r="B64" t="str">
            <v>ახალგაზრდობის განვითარების ხელშეწყობა</v>
          </cell>
          <cell r="C64"/>
        </row>
        <row r="65">
          <cell r="A65" t="str">
            <v>05 06 01</v>
          </cell>
          <cell r="B65" t="str">
            <v>ახალგაზრდული ცენტრი</v>
          </cell>
          <cell r="C65" t="str">
            <v>ახალგაზ. და სპორტი</v>
          </cell>
        </row>
        <row r="66">
          <cell r="A66" t="str">
            <v>05 06 02</v>
          </cell>
          <cell r="B66" t="str">
            <v>ინტელექტუალური და შემეცნებითი პროექტების მხარდაჭერა</v>
          </cell>
          <cell r="C66" t="str">
            <v>ახალგაზ. და სპორტი</v>
          </cell>
        </row>
        <row r="67">
          <cell r="A67" t="str">
            <v>05 06 03</v>
          </cell>
          <cell r="B67" t="str">
            <v>სტუდენტური საზაფხულო დასაქმება</v>
          </cell>
          <cell r="C67" t="str">
            <v>ახალგაზ. და სპორტი</v>
          </cell>
        </row>
        <row r="68">
          <cell r="A68" t="str">
            <v>06 00</v>
          </cell>
          <cell r="B68" t="str">
            <v>მოსახლეობის ჯანმრთელობისა დაცვა და  სოციალური უზრუნველყოფა</v>
          </cell>
          <cell r="C68"/>
        </row>
        <row r="69">
          <cell r="A69" t="str">
            <v>06 01</v>
          </cell>
          <cell r="B69" t="str">
            <v>ჯანმრთელობის დაცვა</v>
          </cell>
          <cell r="C69"/>
        </row>
        <row r="70">
          <cell r="A70" t="str">
            <v>06 01 01</v>
          </cell>
          <cell r="B70" t="str">
    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    </cell>
          <cell r="C70" t="str">
            <v>ჯანდაცვა</v>
          </cell>
        </row>
        <row r="71">
          <cell r="A71" t="str">
            <v>06 01 02</v>
          </cell>
          <cell r="B71" t="str">
            <v>ონკოლოგიურ დაავადებათა ადრეული ფორმების დიაგნოსტიკა და პრევენცია</v>
          </cell>
          <cell r="C71" t="str">
            <v>ჯანდაცვა</v>
          </cell>
        </row>
        <row r="72">
          <cell r="A72" t="str">
            <v>06 01 04</v>
          </cell>
          <cell r="B72" t="str">
            <v>ფსიქიური პრობლემების მქონე პირთა ფსიქო-სოციალური რეაბილიტაცია</v>
          </cell>
          <cell r="C72" t="str">
            <v>ჯანდაცვა</v>
          </cell>
        </row>
        <row r="73">
          <cell r="A73" t="str">
            <v>06 01 05</v>
          </cell>
          <cell r="B73" t="str">
            <v>მოწყვლადი ჯგუფების სტომატოლოგიური და  ორთოპედიული  მომსახურეობა</v>
          </cell>
          <cell r="C73" t="str">
            <v>ჯანდაცვა</v>
          </cell>
        </row>
        <row r="74">
          <cell r="A74" t="str">
            <v>06 01 07</v>
          </cell>
          <cell r="B74" t="str">
            <v>შ.შ.მ. სტატუსის ბავშვთა და ვეტერანთა საკურორტო სამკურნალო-რეაბილიტაცია</v>
          </cell>
          <cell r="C74" t="str">
            <v>ჯანდაცვა</v>
          </cell>
        </row>
        <row r="75">
          <cell r="A75" t="str">
            <v>06 01 08</v>
          </cell>
          <cell r="B75" t="str">
            <v>ქრონიკული დაავადებების მქონე პაციენტთა მონიტორინგი და დიაგნოსტიკა</v>
          </cell>
          <cell r="C75" t="str">
            <v>ჯანდაცვა</v>
          </cell>
        </row>
        <row r="76">
          <cell r="A76" t="str">
            <v>06 01 09</v>
          </cell>
          <cell r="B76" t="str">
            <v>ახალშობილთა და ბავშვთა განვითარების შეფერხების პრევენცია და რეაბილიტაცია</v>
          </cell>
          <cell r="C76" t="str">
            <v>ჯანდაცვა</v>
          </cell>
        </row>
        <row r="77">
          <cell r="A77" t="str">
            <v>06 01 10</v>
          </cell>
          <cell r="B77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77"/>
        </row>
        <row r="78">
          <cell r="A78" t="str">
            <v>06 01 14</v>
          </cell>
          <cell r="B78" t="str">
            <v>თემზე დაფუძნებული მობილური გუნდის მომსახურება</v>
          </cell>
          <cell r="C78" t="str">
            <v>ჯანდაცვა</v>
          </cell>
        </row>
        <row r="79">
          <cell r="A79" t="str">
            <v>06 02</v>
          </cell>
          <cell r="B79" t="str">
            <v>სოციალური უზრუნველყოფა</v>
          </cell>
          <cell r="C79"/>
        </row>
        <row r="80">
          <cell r="A80" t="str">
            <v>06 02 01</v>
          </cell>
          <cell r="B80" t="str">
            <v xml:space="preserve">კომუნალური მომსახურების საფასურის სუბსიდირება </v>
          </cell>
          <cell r="C80" t="str">
            <v>სოციალური</v>
          </cell>
        </row>
        <row r="81">
          <cell r="A81" t="str">
            <v>06 02 04</v>
          </cell>
          <cell r="B81" t="str">
            <v>მზრუნველობას მოკლებულ ბენეფიციართა მოვლა-პატრონობა და  მოვლის საჭიროების მქონე პირთა დახმარება</v>
          </cell>
          <cell r="C81" t="str">
            <v>სოციალური</v>
          </cell>
        </row>
        <row r="82">
          <cell r="A82" t="str">
            <v>06 02 10</v>
          </cell>
          <cell r="B82" t="str">
            <v>მოწყვლადი სოციალური კატეგორიებისათვის მინიმალური სოციალური პირობების შექმნა</v>
          </cell>
          <cell r="C82" t="str">
            <v>სოციალური</v>
          </cell>
        </row>
        <row r="83">
          <cell r="A83" t="str">
            <v>06 02 11</v>
          </cell>
          <cell r="B83" t="str">
            <v>შეზღუდული შესაძლებლობების მქონე პირების ასისტენტით მომსახურება</v>
          </cell>
          <cell r="C83" t="str">
            <v>სოციალური</v>
          </cell>
        </row>
        <row r="84">
          <cell r="A84" t="str">
            <v>06 03</v>
          </cell>
          <cell r="B84" t="str">
            <v>სანიტარიული ზედამხედველობა და ეპიდსიტუაციის მართვა</v>
          </cell>
          <cell r="C84"/>
        </row>
        <row r="85">
          <cell r="A85" t="str">
            <v>06 03 01</v>
          </cell>
          <cell r="B85" t="str">
            <v>ბათუმის ტერიტორიაზე არსებული დაწესებულებების სანიტარული მონიტორინგი</v>
          </cell>
          <cell r="C85" t="str">
            <v>სანიტარული</v>
          </cell>
        </row>
        <row r="86">
          <cell r="A86" t="str">
            <v>06 03 02</v>
          </cell>
          <cell r="B86" t="str">
            <v>დეზინსექცია დერატიზაციის ღონისძიებები</v>
          </cell>
          <cell r="C86" t="str">
            <v>სანიტარული</v>
          </cell>
        </row>
        <row r="87">
          <cell r="A87" t="str">
            <v>06 03 03</v>
          </cell>
          <cell r="B87" t="str">
            <v>მაწანწალა ცხოველების  მოვლა-პატრონობისა და პოპულაციის რეგულირების  ღონისძიებები</v>
          </cell>
          <cell r="C87" t="str">
            <v>სანიტარული</v>
          </cell>
        </row>
        <row r="88">
          <cell r="A88" t="str">
            <v>07 00</v>
          </cell>
          <cell r="B88" t="str">
            <v>ქალაქის სოციალურ-ეკონომიკური და სივრცითი  განვითარება</v>
          </cell>
          <cell r="C88"/>
        </row>
        <row r="89">
          <cell r="A89" t="str">
            <v>07 01</v>
          </cell>
          <cell r="B89" t="str">
            <v>ქალაქის დაგეგმარება</v>
          </cell>
          <cell r="C89"/>
        </row>
        <row r="90">
          <cell r="A90" t="str">
            <v>07 01 01</v>
          </cell>
          <cell r="B90" t="str">
            <v>ქალაქის განვითარების გეგმის შედგენა</v>
          </cell>
          <cell r="C90" t="str">
            <v>არქიტექტურა</v>
          </cell>
        </row>
        <row r="91">
          <cell r="A91" t="str">
            <v>07 01 02</v>
          </cell>
          <cell r="B91" t="str">
            <v>საპროექტო-სახარჯთაღრიცხვო დოკუმენტაციის შედგენა</v>
          </cell>
          <cell r="C91" t="str">
            <v>კეთილმოწყობა</v>
          </cell>
        </row>
        <row r="92">
          <cell r="A92" t="str">
            <v>07 01 03</v>
          </cell>
          <cell r="B92" t="str">
            <v>საკომპენსაციო თანხებით მოქალაქეთა უზრუნველყოფა</v>
          </cell>
          <cell r="C92" t="str">
            <v>ეკონომიკური</v>
          </cell>
        </row>
        <row r="93">
          <cell r="A93" t="str">
            <v>07 02</v>
          </cell>
          <cell r="B93" t="str">
            <v>ქალაქის ეკონომიკური პროფილის გაძლიერება და ბიზნესის განვითარების ხელშეწყობა</v>
          </cell>
          <cell r="C93"/>
        </row>
        <row r="94">
          <cell r="A94" t="str">
            <v>07 02 01</v>
          </cell>
          <cell r="B94" t="str">
            <v>ინდუსტრიული/საწარმოო ბიზნეს ცენტრის შექმნა</v>
          </cell>
          <cell r="C94" t="str">
            <v>კეთილმოწყობა</v>
          </cell>
        </row>
        <row r="95">
          <cell r="A95"/>
          <cell r="B95" t="str">
            <v>მეწარმეობისა და ინოვაციების განვითარების სტიმულირება</v>
          </cell>
          <cell r="C95" t="str">
            <v>ეკონომიკური</v>
          </cell>
        </row>
        <row r="96">
          <cell r="A96"/>
          <cell r="B96" t="str">
            <v>საერთაშორისო ბიზნეს ცენტრის შექმნის ხელშეწყობა</v>
          </cell>
          <cell r="C96" t="str">
            <v>ეკონომიკური</v>
          </cell>
        </row>
        <row r="97">
          <cell r="A97"/>
          <cell r="B97" t="str">
            <v>ეკონომიკური ფორუმების ორგანიზება</v>
          </cell>
          <cell r="C97" t="str">
            <v>ეკონომიკური</v>
          </cell>
        </row>
        <row r="98">
          <cell r="A98" t="str">
            <v xml:space="preserve">07 02 05 </v>
          </cell>
          <cell r="B98" t="str">
            <v>ბათუმის ისტორიული განაშენიანების საზღვრებში ეკონომიკური, სოციალური და კულტურული ცენტრების განვითარების მხარდაჭერა</v>
          </cell>
          <cell r="C98" t="str">
            <v>ეკონომიკური</v>
          </cell>
        </row>
        <row r="99">
          <cell r="A99" t="str">
            <v>07 03</v>
          </cell>
          <cell r="B99" t="str">
            <v>ქალაქის ფუნქციონალური პროფილის გაძლიერება და დივერსიფიკაცია</v>
          </cell>
          <cell r="C99"/>
        </row>
        <row r="100">
          <cell r="A100"/>
          <cell r="B100" t="str">
            <v>ქალაქის საჭიროებებთან დაკავშირებული სტრატეგიული და სხვა ტიპის კვლევების განხორციელება</v>
          </cell>
          <cell r="C100" t="str">
            <v>ეკონომიკური</v>
          </cell>
        </row>
        <row r="101">
          <cell r="A101" t="str">
            <v>07 04</v>
          </cell>
          <cell r="B101" t="str">
            <v>მუნიპალური სერვისების განვითარება</v>
          </cell>
        </row>
        <row r="102">
          <cell r="A102" t="str">
            <v>07 04 01</v>
          </cell>
          <cell r="B102" t="str">
            <v>ელექტრონული სერვისების დანერგვა და განვითარება</v>
          </cell>
          <cell r="C102" t="str">
            <v>აპარატი - იურიდიული</v>
          </cell>
        </row>
        <row r="103">
          <cell r="A103" t="str">
            <v>08 01 04</v>
          </cell>
          <cell r="B103" t="str">
            <v>თვითმმართველობის საკუთრებაში არსებული ქონების მართვა</v>
          </cell>
          <cell r="C103" t="str">
            <v>ეკონომიკური</v>
          </cell>
        </row>
        <row r="104">
          <cell r="A104" t="str">
            <v>07 04 03</v>
          </cell>
          <cell r="B104" t="str">
            <v>ადგილობრივი მოსაკრებლების ადმინისტრირება</v>
          </cell>
          <cell r="C104" t="str">
            <v>საფინანსო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9"/>
  <sheetViews>
    <sheetView showZeros="0" tabSelected="1" view="pageBreakPreview" zoomScaleNormal="100" zoomScaleSheetLayoutView="100" workbookViewId="0">
      <selection activeCell="E5" sqref="E5:F5"/>
    </sheetView>
  </sheetViews>
  <sheetFormatPr defaultColWidth="9.109375" defaultRowHeight="13.8"/>
  <cols>
    <col min="1" max="1" width="4.44140625" style="1" customWidth="1"/>
    <col min="2" max="2" width="9.44140625" style="1" customWidth="1"/>
    <col min="3" max="3" width="34.44140625" style="106" customWidth="1"/>
    <col min="4" max="4" width="42.44140625" style="2" customWidth="1"/>
    <col min="5" max="5" width="13.44140625" style="1" customWidth="1"/>
    <col min="6" max="6" width="15.6640625" style="5" customWidth="1"/>
    <col min="7" max="7" width="21.44140625" style="1" customWidth="1"/>
    <col min="8" max="8" width="15.44140625" style="2" customWidth="1"/>
    <col min="9" max="9" width="18.88671875" style="337" hidden="1" customWidth="1"/>
    <col min="10" max="10" width="7.88671875" style="338" hidden="1" customWidth="1"/>
    <col min="11" max="11" width="10.44140625" style="338" hidden="1" customWidth="1"/>
    <col min="12" max="12" width="8.88671875" style="339" hidden="1" customWidth="1"/>
    <col min="13" max="13" width="15.88671875" style="338" hidden="1" customWidth="1"/>
    <col min="14" max="14" width="14.109375" style="338" hidden="1" customWidth="1"/>
    <col min="15" max="15" width="17.6640625" style="338" hidden="1" customWidth="1"/>
    <col min="16" max="16" width="9.88671875" style="338" hidden="1" customWidth="1"/>
    <col min="17" max="17" width="41.33203125" style="340" hidden="1" customWidth="1"/>
    <col min="18" max="18" width="17.109375" style="338" hidden="1" customWidth="1"/>
    <col min="19" max="19" width="11.33203125" style="225" hidden="1" customWidth="1"/>
    <col min="20" max="20" width="15.44140625" style="226" hidden="1" customWidth="1"/>
    <col min="21" max="22" width="16.6640625" style="226" hidden="1" customWidth="1"/>
    <col min="23" max="23" width="15.44140625" style="226" hidden="1" customWidth="1"/>
    <col min="24" max="24" width="50.88671875" style="227" hidden="1" customWidth="1"/>
    <col min="25" max="25" width="13.88671875" style="228" hidden="1" customWidth="1"/>
    <col min="26" max="26" width="18.44140625" style="229" hidden="1" customWidth="1"/>
    <col min="27" max="27" width="13.44140625" style="229" hidden="1" customWidth="1"/>
    <col min="28" max="28" width="14.44140625" style="229" hidden="1" customWidth="1"/>
    <col min="29" max="38" width="0" style="12" hidden="1" customWidth="1"/>
    <col min="39" max="16384" width="9.109375" style="12"/>
  </cols>
  <sheetData>
    <row r="1" spans="1:26" ht="20.100000000000001" customHeight="1">
      <c r="A1" s="3"/>
      <c r="B1" s="3"/>
      <c r="C1" s="101"/>
      <c r="D1" s="4"/>
      <c r="E1" s="3"/>
      <c r="F1" s="13"/>
      <c r="G1" s="74"/>
      <c r="H1" s="74" t="s">
        <v>172</v>
      </c>
      <c r="I1" s="218">
        <f>12789353/1000</f>
        <v>12789.352999999999</v>
      </c>
      <c r="J1" s="219" t="s">
        <v>99</v>
      </c>
      <c r="K1" s="219"/>
      <c r="L1" s="220"/>
      <c r="M1" s="221"/>
      <c r="N1" s="219"/>
      <c r="O1" s="222"/>
      <c r="P1" s="223"/>
      <c r="Q1" s="224"/>
      <c r="R1" s="223"/>
    </row>
    <row r="2" spans="1:26" ht="27" customHeight="1">
      <c r="A2" s="199" t="s">
        <v>710</v>
      </c>
      <c r="B2" s="199"/>
      <c r="C2" s="199"/>
      <c r="D2" s="199"/>
      <c r="E2" s="199"/>
      <c r="F2" s="199"/>
      <c r="G2" s="199"/>
      <c r="H2" s="199"/>
      <c r="I2" s="218" t="e">
        <f>#REF!-I1</f>
        <v>#REF!</v>
      </c>
      <c r="J2" s="230" t="s">
        <v>95</v>
      </c>
      <c r="K2" s="231"/>
      <c r="L2" s="232"/>
      <c r="M2" s="233"/>
      <c r="N2" s="233"/>
      <c r="O2" s="234"/>
      <c r="P2" s="235"/>
      <c r="Q2" s="236"/>
      <c r="R2" s="237"/>
    </row>
    <row r="3" spans="1:26" ht="37.5" customHeight="1">
      <c r="A3" s="206" t="s">
        <v>709</v>
      </c>
      <c r="B3" s="206"/>
      <c r="C3" s="206"/>
      <c r="D3" s="206"/>
      <c r="E3" s="200" t="s">
        <v>224</v>
      </c>
      <c r="F3" s="201"/>
      <c r="G3" s="201"/>
      <c r="H3" s="202"/>
      <c r="I3" s="238"/>
      <c r="J3" s="239"/>
      <c r="K3" s="240"/>
      <c r="L3" s="240"/>
      <c r="M3" s="241"/>
      <c r="N3" s="241"/>
      <c r="O3" s="242"/>
      <c r="P3" s="241"/>
      <c r="Q3" s="243"/>
      <c r="R3" s="241"/>
      <c r="T3" s="244"/>
      <c r="U3" s="244"/>
      <c r="V3" s="244"/>
      <c r="W3" s="244"/>
      <c r="Y3" s="245"/>
      <c r="Z3" s="241"/>
    </row>
    <row r="4" spans="1:26" ht="50.1" customHeight="1">
      <c r="A4" s="207" t="s">
        <v>225</v>
      </c>
      <c r="B4" s="207"/>
      <c r="C4" s="207"/>
      <c r="D4" s="207"/>
      <c r="E4" s="203" t="s">
        <v>226</v>
      </c>
      <c r="F4" s="203"/>
      <c r="G4" s="203"/>
      <c r="H4" s="203"/>
      <c r="I4" s="238"/>
      <c r="J4" s="239"/>
      <c r="K4" s="240"/>
      <c r="L4" s="240"/>
      <c r="M4" s="246"/>
      <c r="N4" s="247"/>
      <c r="O4" s="241"/>
      <c r="P4" s="241"/>
      <c r="Q4" s="243"/>
      <c r="R4" s="241"/>
      <c r="T4" s="244"/>
      <c r="U4" s="244"/>
      <c r="V4" s="244"/>
      <c r="W4" s="244"/>
      <c r="Y4" s="245"/>
      <c r="Z4" s="241"/>
    </row>
    <row r="5" spans="1:26" ht="35.1" customHeight="1">
      <c r="A5" s="208" t="s">
        <v>481</v>
      </c>
      <c r="B5" s="209"/>
      <c r="C5" s="209"/>
      <c r="D5" s="209"/>
      <c r="E5" s="204">
        <f>SUM(E8:E183)</f>
        <v>15107063</v>
      </c>
      <c r="F5" s="204"/>
      <c r="G5" s="28" t="s">
        <v>35</v>
      </c>
      <c r="H5" s="39">
        <f>SUBTOTAL(9,E9:E182)</f>
        <v>15100053</v>
      </c>
      <c r="I5" s="248"/>
      <c r="J5" s="249"/>
      <c r="K5" s="250"/>
      <c r="L5" s="251"/>
      <c r="M5" s="250"/>
      <c r="N5" s="249"/>
      <c r="O5" s="252"/>
      <c r="P5" s="253"/>
      <c r="Q5" s="254"/>
      <c r="R5" s="253"/>
      <c r="T5" s="244"/>
      <c r="U5" s="244"/>
      <c r="V5" s="244"/>
      <c r="W5" s="244"/>
      <c r="Y5" s="245"/>
      <c r="Z5" s="241"/>
    </row>
    <row r="6" spans="1:26" ht="36">
      <c r="A6" s="15" t="s">
        <v>36</v>
      </c>
      <c r="B6" s="15" t="s">
        <v>37</v>
      </c>
      <c r="C6" s="205" t="s">
        <v>40</v>
      </c>
      <c r="D6" s="205"/>
      <c r="E6" s="15" t="s">
        <v>1</v>
      </c>
      <c r="F6" s="15" t="s">
        <v>2</v>
      </c>
      <c r="G6" s="15" t="s">
        <v>38</v>
      </c>
      <c r="H6" s="15" t="s">
        <v>0</v>
      </c>
      <c r="I6" s="255" t="s">
        <v>31</v>
      </c>
      <c r="J6" s="256" t="s">
        <v>92</v>
      </c>
      <c r="K6" s="256" t="s">
        <v>56</v>
      </c>
      <c r="L6" s="257" t="s">
        <v>57</v>
      </c>
      <c r="M6" s="256" t="s">
        <v>64</v>
      </c>
      <c r="N6" s="256"/>
      <c r="O6" s="256" t="s">
        <v>53</v>
      </c>
      <c r="P6" s="258" t="s">
        <v>32</v>
      </c>
      <c r="Q6" s="258" t="s">
        <v>62</v>
      </c>
      <c r="R6" s="259" t="s">
        <v>21</v>
      </c>
      <c r="S6" s="260" t="s">
        <v>41</v>
      </c>
      <c r="T6" s="261"/>
      <c r="U6" s="261"/>
      <c r="V6" s="261"/>
      <c r="W6" s="261"/>
      <c r="X6" s="262"/>
      <c r="Y6" s="263"/>
      <c r="Z6" s="241"/>
    </row>
    <row r="7" spans="1:26" ht="15" customHeight="1">
      <c r="A7" s="37">
        <v>1</v>
      </c>
      <c r="B7" s="96">
        <v>2</v>
      </c>
      <c r="C7" s="102">
        <v>3</v>
      </c>
      <c r="D7" s="16"/>
      <c r="E7" s="133">
        <v>4</v>
      </c>
      <c r="F7" s="73">
        <v>5</v>
      </c>
      <c r="G7" s="73">
        <v>6</v>
      </c>
      <c r="H7" s="73">
        <v>7</v>
      </c>
      <c r="I7" s="255"/>
      <c r="J7" s="256"/>
      <c r="K7" s="264"/>
      <c r="L7" s="265"/>
      <c r="M7" s="264"/>
      <c r="N7" s="256"/>
      <c r="O7" s="256"/>
      <c r="P7" s="258"/>
      <c r="Q7" s="266"/>
      <c r="R7" s="259"/>
      <c r="S7" s="267" t="s">
        <v>36</v>
      </c>
      <c r="T7" s="268" t="s">
        <v>63</v>
      </c>
      <c r="U7" s="269" t="s">
        <v>394</v>
      </c>
      <c r="V7" s="269" t="s">
        <v>410</v>
      </c>
      <c r="W7" s="270" t="s">
        <v>589</v>
      </c>
      <c r="X7" s="271" t="s">
        <v>42</v>
      </c>
      <c r="Y7" s="272"/>
      <c r="Z7" s="241"/>
    </row>
    <row r="8" spans="1:26" ht="26.25" customHeight="1">
      <c r="A8" s="161">
        <v>1</v>
      </c>
      <c r="B8" s="166">
        <v>3100000</v>
      </c>
      <c r="C8" s="169" t="s">
        <v>459</v>
      </c>
      <c r="D8" s="132" t="s">
        <v>369</v>
      </c>
      <c r="E8" s="38">
        <v>1000</v>
      </c>
      <c r="F8" s="29" t="s">
        <v>28</v>
      </c>
      <c r="G8" s="31" t="s">
        <v>446</v>
      </c>
      <c r="H8" s="30" t="str">
        <f>M8</f>
        <v>მე-10(1) მუხლ. მე-3 პუნქ. ”ვ” ქვეპ.</v>
      </c>
      <c r="I8" s="273"/>
      <c r="J8" s="274">
        <v>1</v>
      </c>
      <c r="K8" s="275"/>
      <c r="L8" s="276">
        <v>2021</v>
      </c>
      <c r="M8" s="277" t="s">
        <v>80</v>
      </c>
      <c r="N8" s="278" t="str">
        <f>VLOOKUP(P8,budget!$A$2:$C$99,3,0)</f>
        <v xml:space="preserve">საკრებულო - აპარატი </v>
      </c>
      <c r="O8" s="279"/>
      <c r="P8" s="280" t="s">
        <v>325</v>
      </c>
      <c r="Q8" s="278" t="str">
        <f>VLOOKUP(P8,budget!$A$2:$B$99,2,0)</f>
        <v>ქალაქ ბათუმის მუნიციპალიტეტის საკრებულო</v>
      </c>
      <c r="R8" s="281"/>
      <c r="S8" s="282"/>
      <c r="T8" s="283">
        <f t="shared" ref="T8" si="0">SUBTOTAL(9,U8:W8)</f>
        <v>0</v>
      </c>
      <c r="U8" s="283"/>
      <c r="V8" s="283"/>
      <c r="W8" s="283"/>
      <c r="X8" s="284"/>
      <c r="Y8" s="285" t="str">
        <f t="shared" ref="Y8" si="1">IF(V8=0,"-",E8-V8)</f>
        <v>-</v>
      </c>
      <c r="Z8" s="241"/>
    </row>
    <row r="9" spans="1:26" ht="26.25" customHeight="1">
      <c r="A9" s="162"/>
      <c r="B9" s="168"/>
      <c r="C9" s="171"/>
      <c r="D9" s="132" t="s">
        <v>149</v>
      </c>
      <c r="E9" s="38">
        <v>800</v>
      </c>
      <c r="F9" s="29" t="s">
        <v>28</v>
      </c>
      <c r="G9" s="31" t="s">
        <v>447</v>
      </c>
      <c r="H9" s="30" t="str">
        <f>M9</f>
        <v>მე-10(1) მუხლ. მე-3 პუნქ. ”ვ” ქვეპ.</v>
      </c>
      <c r="I9" s="273" t="s">
        <v>461</v>
      </c>
      <c r="J9" s="274">
        <v>8</v>
      </c>
      <c r="K9" s="275"/>
      <c r="L9" s="276">
        <v>2021</v>
      </c>
      <c r="M9" s="277" t="s">
        <v>80</v>
      </c>
      <c r="N9" s="278" t="str">
        <f>VLOOKUP(P9,budget!$A$2:$C$99,3,0)</f>
        <v>აპარატი - პროტოკოლი</v>
      </c>
      <c r="O9" s="279"/>
      <c r="P9" s="280" t="s">
        <v>232</v>
      </c>
      <c r="Q9" s="278" t="str">
        <f>VLOOKUP(P9,budget!$A$2:$B$99,2,0)</f>
        <v>ქალაქ ბათუმის მუნიციპალიტეტის მერია</v>
      </c>
      <c r="R9" s="281"/>
      <c r="S9" s="282"/>
      <c r="T9" s="283">
        <f t="shared" ref="T9:T73" si="2">SUBTOTAL(9,U9:W9)</f>
        <v>0</v>
      </c>
      <c r="U9" s="283"/>
      <c r="V9" s="283"/>
      <c r="W9" s="283"/>
      <c r="X9" s="284"/>
      <c r="Y9" s="285" t="str">
        <f t="shared" ref="Y9:Y78" si="3">IF(V9=0,"-",E9-V9)</f>
        <v>-</v>
      </c>
      <c r="Z9" s="241"/>
    </row>
    <row r="10" spans="1:26" ht="27" customHeight="1">
      <c r="A10" s="161">
        <v>2</v>
      </c>
      <c r="B10" s="166">
        <v>3200000</v>
      </c>
      <c r="C10" s="169" t="s">
        <v>338</v>
      </c>
      <c r="D10" s="132" t="s">
        <v>337</v>
      </c>
      <c r="E10" s="38">
        <v>1000</v>
      </c>
      <c r="F10" s="29" t="s">
        <v>28</v>
      </c>
      <c r="G10" s="79" t="s">
        <v>446</v>
      </c>
      <c r="H10" s="30" t="str">
        <f>M10</f>
        <v>მე-3 მუხ. 1-ლი პუნქ. "ს" ქვეპუნ.</v>
      </c>
      <c r="I10" s="286"/>
      <c r="J10" s="274">
        <v>1</v>
      </c>
      <c r="K10" s="287"/>
      <c r="L10" s="276">
        <v>2021</v>
      </c>
      <c r="M10" s="288" t="s">
        <v>29</v>
      </c>
      <c r="N10" s="278" t="str">
        <f>VLOOKUP(P10,budget!$A$2:$C$99,3,0)</f>
        <v>აპარატი - მატერ-ტექნიკ.</v>
      </c>
      <c r="O10" s="279"/>
      <c r="P10" s="289" t="s">
        <v>227</v>
      </c>
      <c r="Q10" s="278" t="str">
        <f>VLOOKUP(P10,budget!$A$2:$B$99,2,0)</f>
        <v>ქალაქ ბათუმის მუნიციპალიტეტის მერია</v>
      </c>
      <c r="R10" s="290"/>
      <c r="S10" s="291" t="s">
        <v>676</v>
      </c>
      <c r="T10" s="283">
        <f t="shared" si="2"/>
        <v>507.4</v>
      </c>
      <c r="U10" s="283"/>
      <c r="V10" s="283">
        <f>184.4+173+150</f>
        <v>507.4</v>
      </c>
      <c r="W10" s="283"/>
      <c r="X10" s="284" t="s">
        <v>621</v>
      </c>
      <c r="Y10" s="285">
        <f t="shared" si="3"/>
        <v>492.6</v>
      </c>
      <c r="Z10" s="241"/>
    </row>
    <row r="11" spans="1:26" ht="25.5" customHeight="1">
      <c r="A11" s="162"/>
      <c r="B11" s="168"/>
      <c r="C11" s="171"/>
      <c r="D11" s="132" t="s">
        <v>367</v>
      </c>
      <c r="E11" s="38">
        <v>500</v>
      </c>
      <c r="F11" s="29" t="s">
        <v>28</v>
      </c>
      <c r="G11" s="31" t="s">
        <v>446</v>
      </c>
      <c r="H11" s="30" t="str">
        <f>M11</f>
        <v>მე-3 მუხ. 1-ლი პუნქ. "ს" ქვეპუნ.</v>
      </c>
      <c r="I11" s="286"/>
      <c r="J11" s="274">
        <v>1</v>
      </c>
      <c r="K11" s="287"/>
      <c r="L11" s="276">
        <v>2021</v>
      </c>
      <c r="M11" s="288" t="s">
        <v>29</v>
      </c>
      <c r="N11" s="278" t="str">
        <f>VLOOKUP(P11,budget!$A$2:$C$99,3,0)</f>
        <v xml:space="preserve">საკრებულო - აპარატი </v>
      </c>
      <c r="O11" s="279"/>
      <c r="P11" s="289" t="s">
        <v>325</v>
      </c>
      <c r="Q11" s="278" t="str">
        <f>VLOOKUP(P11,budget!$A$2:$B$99,2,0)</f>
        <v>ქალაქ ბათუმის მუნიციპალიტეტის საკრებულო</v>
      </c>
      <c r="R11" s="290"/>
      <c r="S11" s="282"/>
      <c r="T11" s="283">
        <f t="shared" si="2"/>
        <v>0</v>
      </c>
      <c r="U11" s="283"/>
      <c r="V11" s="283"/>
      <c r="W11" s="283"/>
      <c r="X11" s="284"/>
      <c r="Y11" s="285" t="str">
        <f t="shared" si="3"/>
        <v>-</v>
      </c>
      <c r="Z11" s="241"/>
    </row>
    <row r="12" spans="1:26" ht="25.5" customHeight="1">
      <c r="A12" s="160">
        <v>3</v>
      </c>
      <c r="B12" s="187" t="s">
        <v>246</v>
      </c>
      <c r="C12" s="177" t="s">
        <v>6</v>
      </c>
      <c r="D12" s="132" t="s">
        <v>19</v>
      </c>
      <c r="E12" s="38">
        <v>150000</v>
      </c>
      <c r="F12" s="29" t="s">
        <v>100</v>
      </c>
      <c r="G12" s="79" t="s">
        <v>443</v>
      </c>
      <c r="H12" s="30" t="s">
        <v>366</v>
      </c>
      <c r="I12" s="273"/>
      <c r="J12" s="274">
        <v>1</v>
      </c>
      <c r="K12" s="275"/>
      <c r="L12" s="276">
        <v>2021</v>
      </c>
      <c r="M12" s="292"/>
      <c r="N12" s="278" t="str">
        <f>VLOOKUP(P12,budget!$A$2:$C$99,3,0)</f>
        <v>აპარატი - მატერ-ტექნიკ.</v>
      </c>
      <c r="O12" s="279" t="s">
        <v>52</v>
      </c>
      <c r="P12" s="289" t="s">
        <v>227</v>
      </c>
      <c r="Q12" s="278" t="str">
        <f>VLOOKUP(P12,budget!$A$2:$B$99,2,0)</f>
        <v>ქალაქ ბათუმის მუნიციპალიტეტის მერია</v>
      </c>
      <c r="R12" s="281"/>
      <c r="S12" s="293" t="s">
        <v>500</v>
      </c>
      <c r="T12" s="283">
        <f>SUBTOTAL(9,U12:W12)</f>
        <v>85320</v>
      </c>
      <c r="U12" s="294"/>
      <c r="V12" s="294">
        <v>85320</v>
      </c>
      <c r="W12" s="294"/>
      <c r="X12" s="284" t="s">
        <v>499</v>
      </c>
      <c r="Y12" s="285">
        <f t="shared" si="3"/>
        <v>64680</v>
      </c>
      <c r="Z12" s="295"/>
    </row>
    <row r="13" spans="1:26" ht="29.25" customHeight="1">
      <c r="A13" s="160"/>
      <c r="B13" s="187"/>
      <c r="C13" s="177"/>
      <c r="D13" s="132" t="s">
        <v>368</v>
      </c>
      <c r="E13" s="38">
        <v>65000</v>
      </c>
      <c r="F13" s="29" t="s">
        <v>100</v>
      </c>
      <c r="G13" s="79" t="s">
        <v>443</v>
      </c>
      <c r="H13" s="30"/>
      <c r="I13" s="273"/>
      <c r="J13" s="274">
        <v>1</v>
      </c>
      <c r="K13" s="275"/>
      <c r="L13" s="276">
        <v>2021</v>
      </c>
      <c r="M13" s="292"/>
      <c r="N13" s="278" t="str">
        <f>budget!C18</f>
        <v>საკრებულო</v>
      </c>
      <c r="O13" s="279"/>
      <c r="P13" s="289" t="s">
        <v>325</v>
      </c>
      <c r="Q13" s="278" t="str">
        <f>VLOOKUP(P13,budget!$A$2:$B$99,2,0)</f>
        <v>ქალაქ ბათუმის მუნიციპალიტეტის საკრებულო</v>
      </c>
      <c r="R13" s="281"/>
      <c r="S13" s="296" t="s">
        <v>501</v>
      </c>
      <c r="T13" s="294">
        <f t="shared" si="2"/>
        <v>56364</v>
      </c>
      <c r="U13" s="294"/>
      <c r="V13" s="294">
        <v>56364</v>
      </c>
      <c r="W13" s="294"/>
      <c r="X13" s="297" t="s">
        <v>499</v>
      </c>
      <c r="Y13" s="285">
        <f t="shared" si="3"/>
        <v>8636</v>
      </c>
      <c r="Z13" s="295"/>
    </row>
    <row r="14" spans="1:26" ht="33" customHeight="1">
      <c r="A14" s="160"/>
      <c r="B14" s="187"/>
      <c r="C14" s="177"/>
      <c r="D14" s="132" t="s">
        <v>251</v>
      </c>
      <c r="E14" s="38">
        <v>18750</v>
      </c>
      <c r="F14" s="41" t="s">
        <v>22</v>
      </c>
      <c r="G14" s="31" t="s">
        <v>443</v>
      </c>
      <c r="H14" s="30"/>
      <c r="I14" s="273"/>
      <c r="J14" s="274">
        <v>1</v>
      </c>
      <c r="K14" s="275"/>
      <c r="L14" s="276">
        <v>2021</v>
      </c>
      <c r="M14" s="292"/>
      <c r="N14" s="278" t="str">
        <f>VLOOKUP(P14,budget!$A$2:$C$99,3,0)</f>
        <v>სოციალური</v>
      </c>
      <c r="O14" s="279"/>
      <c r="P14" s="280" t="s">
        <v>134</v>
      </c>
      <c r="Q14" s="278" t="str">
        <f>VLOOKUP(P14,budget!$A$2:$B$99,2,0)</f>
        <v xml:space="preserve">კომუნალური მომსახურების საფასურის სუბსიდირება </v>
      </c>
      <c r="R14" s="281"/>
      <c r="S14" s="282" t="s">
        <v>579</v>
      </c>
      <c r="T14" s="283">
        <f t="shared" si="2"/>
        <v>18750</v>
      </c>
      <c r="U14" s="283"/>
      <c r="V14" s="294">
        <v>18750</v>
      </c>
      <c r="W14" s="294"/>
      <c r="X14" s="284" t="s">
        <v>580</v>
      </c>
      <c r="Y14" s="285">
        <f t="shared" si="3"/>
        <v>0</v>
      </c>
      <c r="Z14" s="295"/>
    </row>
    <row r="15" spans="1:26" ht="29.25" customHeight="1">
      <c r="A15" s="161">
        <v>4</v>
      </c>
      <c r="B15" s="172" t="s">
        <v>346</v>
      </c>
      <c r="C15" s="169" t="s">
        <v>347</v>
      </c>
      <c r="D15" s="132" t="s">
        <v>348</v>
      </c>
      <c r="E15" s="38">
        <v>3000</v>
      </c>
      <c r="F15" s="29" t="s">
        <v>100</v>
      </c>
      <c r="G15" s="79" t="s">
        <v>446</v>
      </c>
      <c r="H15" s="30"/>
      <c r="I15" s="273"/>
      <c r="J15" s="274">
        <v>1</v>
      </c>
      <c r="K15" s="275"/>
      <c r="L15" s="276">
        <v>2021</v>
      </c>
      <c r="M15" s="292"/>
      <c r="N15" s="278" t="str">
        <f>budget!C4</f>
        <v>აპარატი</v>
      </c>
      <c r="O15" s="279" t="s">
        <v>52</v>
      </c>
      <c r="P15" s="289" t="s">
        <v>88</v>
      </c>
      <c r="Q15" s="278" t="str">
        <f>VLOOKUP(P15,budget!$A$2:$B$99,2,0)</f>
        <v>ქალაქ ბათუმის მუნიციპალიტეტის მერია</v>
      </c>
      <c r="R15" s="281"/>
      <c r="S15" s="293" t="s">
        <v>548</v>
      </c>
      <c r="T15" s="283">
        <f t="shared" si="2"/>
        <v>2288.5</v>
      </c>
      <c r="U15" s="283"/>
      <c r="V15" s="294">
        <v>2288.5</v>
      </c>
      <c r="W15" s="294"/>
      <c r="X15" s="284" t="s">
        <v>547</v>
      </c>
      <c r="Y15" s="285">
        <f t="shared" si="3"/>
        <v>711.5</v>
      </c>
      <c r="Z15" s="295"/>
    </row>
    <row r="16" spans="1:26" ht="29.25" customHeight="1">
      <c r="A16" s="162"/>
      <c r="B16" s="173"/>
      <c r="C16" s="171"/>
      <c r="D16" s="132" t="s">
        <v>348</v>
      </c>
      <c r="E16" s="38">
        <v>1500</v>
      </c>
      <c r="F16" s="29" t="s">
        <v>100</v>
      </c>
      <c r="G16" s="31" t="s">
        <v>446</v>
      </c>
      <c r="H16" s="30"/>
      <c r="I16" s="273"/>
      <c r="J16" s="274">
        <v>1</v>
      </c>
      <c r="K16" s="275"/>
      <c r="L16" s="276">
        <v>2021</v>
      </c>
      <c r="M16" s="292"/>
      <c r="N16" s="278" t="str">
        <f>VLOOKUP(P16,budget!$A$2:$C$99,3,0)</f>
        <v xml:space="preserve">საკრებულო - აპარატი </v>
      </c>
      <c r="O16" s="279"/>
      <c r="P16" s="289" t="s">
        <v>325</v>
      </c>
      <c r="Q16" s="278" t="str">
        <f>VLOOKUP(P16,budget!$A$2:$B$99,2,0)</f>
        <v>ქალაქ ბათუმის მუნიციპალიტეტის საკრებულო</v>
      </c>
      <c r="R16" s="281"/>
      <c r="S16" s="296" t="s">
        <v>549</v>
      </c>
      <c r="T16" s="298">
        <f t="shared" si="2"/>
        <v>1215.8</v>
      </c>
      <c r="U16" s="298"/>
      <c r="V16" s="294">
        <v>1215.8</v>
      </c>
      <c r="W16" s="294"/>
      <c r="X16" s="299" t="s">
        <v>547</v>
      </c>
      <c r="Y16" s="285">
        <f t="shared" si="3"/>
        <v>284.20000000000005</v>
      </c>
      <c r="Z16" s="295"/>
    </row>
    <row r="17" spans="1:26" ht="26.25" customHeight="1">
      <c r="A17" s="161">
        <v>5</v>
      </c>
      <c r="B17" s="166" t="s">
        <v>305</v>
      </c>
      <c r="C17" s="169" t="s">
        <v>304</v>
      </c>
      <c r="D17" s="132" t="s">
        <v>306</v>
      </c>
      <c r="E17" s="38">
        <v>600</v>
      </c>
      <c r="F17" s="29" t="s">
        <v>28</v>
      </c>
      <c r="G17" s="79" t="s">
        <v>446</v>
      </c>
      <c r="H17" s="30" t="str">
        <f t="shared" ref="H17:H23" si="4">M17</f>
        <v>მე-3 მუხ. 1-ლი პუნქ. "ს" ქვეპუნ.</v>
      </c>
      <c r="I17" s="300"/>
      <c r="J17" s="274">
        <v>1</v>
      </c>
      <c r="K17" s="275"/>
      <c r="L17" s="276">
        <v>2021</v>
      </c>
      <c r="M17" s="288" t="s">
        <v>29</v>
      </c>
      <c r="N17" s="278" t="str">
        <f>VLOOKUP(P17,budget!$A$2:$C$99,3,0)</f>
        <v>აპარატი - მატერ-ტექნიკ.</v>
      </c>
      <c r="O17" s="279"/>
      <c r="P17" s="280" t="s">
        <v>227</v>
      </c>
      <c r="Q17" s="278" t="str">
        <f>VLOOKUP(P17,budget!$A$2:$B$99,2,0)</f>
        <v>ქალაქ ბათუმის მუნიციპალიტეტის მერია</v>
      </c>
      <c r="R17" s="281"/>
      <c r="S17" s="291"/>
      <c r="T17" s="283">
        <f t="shared" si="2"/>
        <v>0</v>
      </c>
      <c r="U17" s="283"/>
      <c r="V17" s="283"/>
      <c r="W17" s="283"/>
      <c r="X17" s="284"/>
      <c r="Y17" s="285" t="str">
        <f t="shared" si="3"/>
        <v>-</v>
      </c>
      <c r="Z17" s="295"/>
    </row>
    <row r="18" spans="1:26" ht="27" customHeight="1">
      <c r="A18" s="165"/>
      <c r="B18" s="167"/>
      <c r="C18" s="170"/>
      <c r="D18" s="132" t="s">
        <v>370</v>
      </c>
      <c r="E18" s="38">
        <v>200</v>
      </c>
      <c r="F18" s="29" t="s">
        <v>28</v>
      </c>
      <c r="G18" s="31" t="s">
        <v>446</v>
      </c>
      <c r="H18" s="30" t="str">
        <f t="shared" si="4"/>
        <v>მე-3 მუხ. 1-ლი პუნქ. "ს" ქვეპუნ.</v>
      </c>
      <c r="I18" s="300"/>
      <c r="J18" s="274">
        <v>1</v>
      </c>
      <c r="K18" s="275"/>
      <c r="L18" s="276">
        <v>2021</v>
      </c>
      <c r="M18" s="288" t="s">
        <v>29</v>
      </c>
      <c r="N18" s="278" t="str">
        <f>VLOOKUP(P18,[5]budget!$A$2:$C$104,3,0)</f>
        <v>საკრებულო</v>
      </c>
      <c r="O18" s="279"/>
      <c r="P18" s="280" t="s">
        <v>325</v>
      </c>
      <c r="Q18" s="278" t="str">
        <f>VLOOKUP(P18,[5]budget!$A$2:$B$104,2,0)</f>
        <v>ქალაქ ბათუმის მუნიციპალიტეტის საკრებულო</v>
      </c>
      <c r="R18" s="281"/>
      <c r="S18" s="282"/>
      <c r="T18" s="283">
        <f t="shared" si="2"/>
        <v>0</v>
      </c>
      <c r="U18" s="283"/>
      <c r="V18" s="283"/>
      <c r="W18" s="283"/>
      <c r="X18" s="284"/>
      <c r="Y18" s="285" t="str">
        <f t="shared" si="3"/>
        <v>-</v>
      </c>
      <c r="Z18" s="295"/>
    </row>
    <row r="19" spans="1:26" ht="27.75" customHeight="1">
      <c r="A19" s="162"/>
      <c r="B19" s="168"/>
      <c r="C19" s="171"/>
      <c r="D19" s="132" t="s">
        <v>370</v>
      </c>
      <c r="E19" s="38">
        <v>100</v>
      </c>
      <c r="F19" s="29" t="s">
        <v>28</v>
      </c>
      <c r="G19" s="31" t="s">
        <v>446</v>
      </c>
      <c r="H19" s="30" t="str">
        <f t="shared" si="4"/>
        <v>მე-3 მუხ. 1-ლი პუნქ. "ვ" ქვეპუნ.</v>
      </c>
      <c r="I19" s="286"/>
      <c r="J19" s="274">
        <v>1</v>
      </c>
      <c r="K19" s="275"/>
      <c r="L19" s="276">
        <v>2021</v>
      </c>
      <c r="M19" s="288" t="s">
        <v>395</v>
      </c>
      <c r="N19" s="278" t="str">
        <f>VLOOKUP(P19,budget!$A$2:$C$99,3,0)</f>
        <v xml:space="preserve">საკრებულო - აპარატი </v>
      </c>
      <c r="O19" s="279"/>
      <c r="P19" s="280" t="s">
        <v>325</v>
      </c>
      <c r="Q19" s="278" t="str">
        <f>VLOOKUP(P19,budget!$A$2:$B$99,2,0)</f>
        <v>ქალაქ ბათუმის მუნიციპალიტეტის საკრებულო</v>
      </c>
      <c r="R19" s="281"/>
      <c r="S19" s="282"/>
      <c r="T19" s="283">
        <f t="shared" si="2"/>
        <v>0</v>
      </c>
      <c r="U19" s="283"/>
      <c r="V19" s="283"/>
      <c r="W19" s="283"/>
      <c r="X19" s="284"/>
      <c r="Y19" s="285" t="str">
        <f t="shared" si="3"/>
        <v>-</v>
      </c>
      <c r="Z19" s="295"/>
    </row>
    <row r="20" spans="1:26" ht="27" customHeight="1">
      <c r="A20" s="161">
        <v>6</v>
      </c>
      <c r="B20" s="161">
        <v>15800000</v>
      </c>
      <c r="C20" s="169" t="s">
        <v>7</v>
      </c>
      <c r="D20" s="132" t="s">
        <v>27</v>
      </c>
      <c r="E20" s="38">
        <v>2000</v>
      </c>
      <c r="F20" s="29" t="s">
        <v>28</v>
      </c>
      <c r="G20" s="79" t="s">
        <v>446</v>
      </c>
      <c r="H20" s="30" t="str">
        <f t="shared" si="4"/>
        <v>მე-3 მუხ. 1-ლი პუნქ. "ს" ქვეპუნ.</v>
      </c>
      <c r="I20" s="286"/>
      <c r="J20" s="274">
        <v>1</v>
      </c>
      <c r="K20" s="287"/>
      <c r="L20" s="276">
        <v>2021</v>
      </c>
      <c r="M20" s="288" t="s">
        <v>29</v>
      </c>
      <c r="N20" s="278" t="str">
        <f>VLOOKUP(P20,budget!$A$2:$C$99,3,0)</f>
        <v>აპარატი - მატერ-ტექნიკ.</v>
      </c>
      <c r="O20" s="279"/>
      <c r="P20" s="289" t="s">
        <v>227</v>
      </c>
      <c r="Q20" s="278" t="str">
        <f>VLOOKUP(P20,budget!$A$2:$B$99,2,0)</f>
        <v>ქალაქ ბათუმის მუნიციპალიტეტის მერია</v>
      </c>
      <c r="R20" s="290"/>
      <c r="S20" s="291" t="s">
        <v>699</v>
      </c>
      <c r="T20" s="283">
        <f t="shared" si="2"/>
        <v>739.1</v>
      </c>
      <c r="U20" s="283"/>
      <c r="V20" s="283">
        <f>376.5+362.6</f>
        <v>739.1</v>
      </c>
      <c r="W20" s="283"/>
      <c r="X20" s="284" t="s">
        <v>611</v>
      </c>
      <c r="Y20" s="285">
        <f t="shared" si="3"/>
        <v>1260.9000000000001</v>
      </c>
      <c r="Z20" s="295"/>
    </row>
    <row r="21" spans="1:26" ht="27" customHeight="1">
      <c r="A21" s="165"/>
      <c r="B21" s="165"/>
      <c r="C21" s="170"/>
      <c r="D21" s="132" t="s">
        <v>371</v>
      </c>
      <c r="E21" s="38">
        <v>700</v>
      </c>
      <c r="F21" s="29" t="s">
        <v>28</v>
      </c>
      <c r="G21" s="31" t="s">
        <v>446</v>
      </c>
      <c r="H21" s="30" t="str">
        <f t="shared" si="4"/>
        <v>მე-3 მუხ. 1-ლი პუნქ. "ს" ქვეპუნ.</v>
      </c>
      <c r="I21" s="286"/>
      <c r="J21" s="274">
        <v>1</v>
      </c>
      <c r="K21" s="287"/>
      <c r="L21" s="276">
        <v>2021</v>
      </c>
      <c r="M21" s="288" t="s">
        <v>29</v>
      </c>
      <c r="N21" s="278" t="str">
        <f>VLOOKUP(P21,budget!$A$2:$C$99,3,0)</f>
        <v xml:space="preserve">საკრებულო - აპარატი </v>
      </c>
      <c r="O21" s="279"/>
      <c r="P21" s="289" t="s">
        <v>325</v>
      </c>
      <c r="Q21" s="278" t="str">
        <f>VLOOKUP(P21,budget!$A$2:$B$99,2,0)</f>
        <v>ქალაქ ბათუმის მუნიციპალიტეტის საკრებულო</v>
      </c>
      <c r="R21" s="290"/>
      <c r="S21" s="282" t="s">
        <v>681</v>
      </c>
      <c r="T21" s="283">
        <f t="shared" si="2"/>
        <v>611.6</v>
      </c>
      <c r="U21" s="283"/>
      <c r="V21" s="283">
        <f>253.6+358</f>
        <v>611.6</v>
      </c>
      <c r="W21" s="283"/>
      <c r="X21" s="284" t="s">
        <v>611</v>
      </c>
      <c r="Y21" s="285">
        <f t="shared" si="3"/>
        <v>88.399999999999977</v>
      </c>
      <c r="Z21" s="295"/>
    </row>
    <row r="22" spans="1:26" ht="27.75" customHeight="1">
      <c r="A22" s="165"/>
      <c r="B22" s="165"/>
      <c r="C22" s="170"/>
      <c r="D22" s="132" t="s">
        <v>396</v>
      </c>
      <c r="E22" s="38">
        <v>200</v>
      </c>
      <c r="F22" s="29" t="s">
        <v>28</v>
      </c>
      <c r="G22" s="31" t="s">
        <v>446</v>
      </c>
      <c r="H22" s="30" t="str">
        <f t="shared" si="4"/>
        <v>მე-3 მუხ. 1-ლი პუნქ. "ვ" ქვეპუნ.</v>
      </c>
      <c r="I22" s="286"/>
      <c r="J22" s="274">
        <v>1</v>
      </c>
      <c r="K22" s="287"/>
      <c r="L22" s="276">
        <v>2021</v>
      </c>
      <c r="M22" s="288" t="s">
        <v>395</v>
      </c>
      <c r="N22" s="278" t="str">
        <f>VLOOKUP(P22,[5]budget!$A$2:$C$104,3,0)</f>
        <v>საკრებულო</v>
      </c>
      <c r="O22" s="279"/>
      <c r="P22" s="289" t="s">
        <v>325</v>
      </c>
      <c r="Q22" s="278" t="str">
        <f>VLOOKUP(P22,[5]budget!$A$2:$B$104,2,0)</f>
        <v>ქალაქ ბათუმის მუნიციპალიტეტის საკრებულო</v>
      </c>
      <c r="R22" s="290"/>
      <c r="S22" s="282"/>
      <c r="T22" s="283">
        <f t="shared" si="2"/>
        <v>0</v>
      </c>
      <c r="U22" s="283"/>
      <c r="V22" s="283"/>
      <c r="W22" s="283"/>
      <c r="X22" s="284"/>
      <c r="Y22" s="285" t="str">
        <f t="shared" si="3"/>
        <v>-</v>
      </c>
      <c r="Z22" s="295"/>
    </row>
    <row r="23" spans="1:26" ht="27.75" customHeight="1">
      <c r="A23" s="162"/>
      <c r="B23" s="162"/>
      <c r="C23" s="171"/>
      <c r="D23" s="132" t="s">
        <v>340</v>
      </c>
      <c r="E23" s="38">
        <v>600</v>
      </c>
      <c r="F23" s="29" t="s">
        <v>28</v>
      </c>
      <c r="G23" s="79" t="s">
        <v>446</v>
      </c>
      <c r="H23" s="30" t="str">
        <f t="shared" si="4"/>
        <v>მე-3 მუხ. 1-ლი პუნქ. "ს" ქვეპუნ.</v>
      </c>
      <c r="I23" s="286"/>
      <c r="J23" s="274">
        <v>1</v>
      </c>
      <c r="K23" s="287"/>
      <c r="L23" s="276">
        <v>2021</v>
      </c>
      <c r="M23" s="288" t="s">
        <v>29</v>
      </c>
      <c r="N23" s="278" t="str">
        <f>VLOOKUP(P23,budget!$A$2:$C$99,3,0)</f>
        <v>აპარატი - მატერ-ტექნიკ.</v>
      </c>
      <c r="O23" s="279"/>
      <c r="P23" s="289" t="s">
        <v>227</v>
      </c>
      <c r="Q23" s="278" t="str">
        <f>VLOOKUP(P23,budget!$A$2:$B$99,2,0)</f>
        <v>ქალაქ ბათუმის მუნიციპალიტეტის მერია</v>
      </c>
      <c r="R23" s="290"/>
      <c r="S23" s="291"/>
      <c r="T23" s="283">
        <f t="shared" si="2"/>
        <v>0</v>
      </c>
      <c r="U23" s="283"/>
      <c r="V23" s="283"/>
      <c r="W23" s="283"/>
      <c r="X23" s="284"/>
      <c r="Y23" s="285" t="str">
        <f t="shared" si="3"/>
        <v>-</v>
      </c>
      <c r="Z23" s="295"/>
    </row>
    <row r="24" spans="1:26" ht="22.5" customHeight="1">
      <c r="A24" s="161">
        <v>7</v>
      </c>
      <c r="B24" s="161">
        <v>15900000</v>
      </c>
      <c r="C24" s="169" t="s">
        <v>25</v>
      </c>
      <c r="D24" s="132" t="s">
        <v>24</v>
      </c>
      <c r="E24" s="38">
        <v>5000</v>
      </c>
      <c r="F24" s="29" t="s">
        <v>22</v>
      </c>
      <c r="G24" s="79" t="s">
        <v>446</v>
      </c>
      <c r="H24" s="30"/>
      <c r="I24" s="273"/>
      <c r="J24" s="274">
        <v>1</v>
      </c>
      <c r="K24" s="287"/>
      <c r="L24" s="276">
        <v>2021</v>
      </c>
      <c r="M24" s="288"/>
      <c r="N24" s="278" t="str">
        <f>VLOOKUP(P24,budget!$A$2:$C$99,3,0)</f>
        <v>აპარატი - მატერ-ტექნიკ.</v>
      </c>
      <c r="O24" s="279"/>
      <c r="P24" s="289" t="s">
        <v>227</v>
      </c>
      <c r="Q24" s="278" t="str">
        <f>VLOOKUP(P24,budget!$A$2:$B$99,2,0)</f>
        <v>ქალაქ ბათუმის მუნიციპალიტეტის მერია</v>
      </c>
      <c r="R24" s="290"/>
      <c r="S24" s="291" t="s">
        <v>602</v>
      </c>
      <c r="T24" s="283">
        <f>SUBTOTAL(9,U24:V24)</f>
        <v>4890</v>
      </c>
      <c r="U24" s="283"/>
      <c r="V24" s="283">
        <v>4890</v>
      </c>
      <c r="X24" s="284" t="s">
        <v>601</v>
      </c>
      <c r="Y24" s="285">
        <f t="shared" si="3"/>
        <v>110</v>
      </c>
      <c r="Z24" s="295"/>
    </row>
    <row r="25" spans="1:26" ht="24.75" customHeight="1">
      <c r="A25" s="165"/>
      <c r="B25" s="165"/>
      <c r="C25" s="170"/>
      <c r="D25" s="132" t="s">
        <v>397</v>
      </c>
      <c r="E25" s="38">
        <f>3200-344</f>
        <v>2856</v>
      </c>
      <c r="F25" s="29" t="s">
        <v>22</v>
      </c>
      <c r="G25" s="31" t="s">
        <v>446</v>
      </c>
      <c r="H25" s="30"/>
      <c r="I25" s="273" t="s">
        <v>651</v>
      </c>
      <c r="J25" s="274">
        <v>11</v>
      </c>
      <c r="K25" s="275"/>
      <c r="L25" s="276">
        <v>2021</v>
      </c>
      <c r="M25" s="292"/>
      <c r="N25" s="278" t="str">
        <f>VLOOKUP(P25,budget!$A$2:$C$99,3,0)</f>
        <v xml:space="preserve">საკრებულო - აპარატი </v>
      </c>
      <c r="O25" s="279"/>
      <c r="P25" s="289" t="s">
        <v>325</v>
      </c>
      <c r="Q25" s="278" t="str">
        <f>VLOOKUP(P25,budget!$A$2:$B$99,2,0)</f>
        <v>ქალაქ ბათუმის მუნიციპალიტეტის საკრებულო</v>
      </c>
      <c r="R25" s="281"/>
      <c r="S25" s="296" t="s">
        <v>588</v>
      </c>
      <c r="T25" s="283">
        <f>SUBTOTAL(9,U25:V25)</f>
        <v>2856</v>
      </c>
      <c r="U25" s="283"/>
      <c r="V25" s="283">
        <v>2856</v>
      </c>
      <c r="X25" s="284" t="s">
        <v>587</v>
      </c>
      <c r="Y25" s="285">
        <f t="shared" si="3"/>
        <v>0</v>
      </c>
      <c r="Z25" s="295"/>
    </row>
    <row r="26" spans="1:26" ht="29.25" customHeight="1">
      <c r="A26" s="165"/>
      <c r="B26" s="165"/>
      <c r="C26" s="170"/>
      <c r="D26" s="132" t="s">
        <v>149</v>
      </c>
      <c r="E26" s="38">
        <v>300</v>
      </c>
      <c r="F26" s="29" t="s">
        <v>28</v>
      </c>
      <c r="G26" s="31" t="s">
        <v>446</v>
      </c>
      <c r="H26" s="30" t="str">
        <f t="shared" ref="H26" si="5">M26</f>
        <v>მე-3 მუხ. 1-ლი პუნქ. "ვ" ქვეპუნ.</v>
      </c>
      <c r="I26" s="273"/>
      <c r="J26" s="274">
        <v>1</v>
      </c>
      <c r="K26" s="275"/>
      <c r="L26" s="276">
        <v>2021</v>
      </c>
      <c r="M26" s="288" t="s">
        <v>395</v>
      </c>
      <c r="N26" s="278" t="str">
        <f>VLOOKUP(P26,[5]budget!$A$2:$C$104,3,0)</f>
        <v>საკრებულო</v>
      </c>
      <c r="O26" s="279"/>
      <c r="P26" s="289" t="s">
        <v>325</v>
      </c>
      <c r="Q26" s="278" t="str">
        <f>VLOOKUP(P26,budget!$A$2:$B$99,2,0)</f>
        <v>ქალაქ ბათუმის მუნიციპალიტეტის საკრებულო</v>
      </c>
      <c r="R26" s="281"/>
      <c r="S26" s="296"/>
      <c r="T26" s="283">
        <f t="shared" ref="T26" si="6">SUBTOTAL(9,U26:W26)</f>
        <v>0</v>
      </c>
      <c r="U26" s="283"/>
      <c r="V26" s="283"/>
      <c r="W26" s="283"/>
      <c r="X26" s="284"/>
      <c r="Y26" s="285" t="str">
        <f t="shared" ref="Y26" si="7">IF(V26=0,"-",E26-V26)</f>
        <v>-</v>
      </c>
      <c r="Z26" s="295"/>
    </row>
    <row r="27" spans="1:26" ht="29.25" customHeight="1">
      <c r="A27" s="162"/>
      <c r="B27" s="162"/>
      <c r="C27" s="171"/>
      <c r="D27" s="132" t="s">
        <v>149</v>
      </c>
      <c r="E27" s="38">
        <v>1300</v>
      </c>
      <c r="F27" s="29" t="s">
        <v>28</v>
      </c>
      <c r="G27" s="31" t="s">
        <v>447</v>
      </c>
      <c r="H27" s="30" t="str">
        <f t="shared" ref="H27:H35" si="8">M27</f>
        <v>მე-3 მუხ. 1-ლი პუნქ. "ვ" ქვეპუნ.</v>
      </c>
      <c r="I27" s="273" t="s">
        <v>461</v>
      </c>
      <c r="J27" s="274">
        <v>8</v>
      </c>
      <c r="K27" s="275"/>
      <c r="L27" s="276">
        <v>2021</v>
      </c>
      <c r="M27" s="288" t="s">
        <v>395</v>
      </c>
      <c r="N27" s="278" t="str">
        <f>VLOOKUP(P27,[5]budget!$A$2:$C$104,3,0)</f>
        <v>აპარატი - პროტოკოლი</v>
      </c>
      <c r="O27" s="279"/>
      <c r="P27" s="289" t="s">
        <v>232</v>
      </c>
      <c r="Q27" s="278" t="str">
        <f>VLOOKUP(P27,budget!$A$2:$B$99,2,0)</f>
        <v>ქალაქ ბათუმის მუნიციპალიტეტის მერია</v>
      </c>
      <c r="R27" s="281"/>
      <c r="S27" s="296"/>
      <c r="T27" s="283">
        <f t="shared" si="2"/>
        <v>0</v>
      </c>
      <c r="U27" s="283"/>
      <c r="V27" s="283"/>
      <c r="W27" s="283"/>
      <c r="X27" s="284"/>
      <c r="Y27" s="285" t="str">
        <f t="shared" si="3"/>
        <v>-</v>
      </c>
      <c r="Z27" s="295"/>
    </row>
    <row r="28" spans="1:26" ht="29.25" customHeight="1">
      <c r="A28" s="165">
        <v>8</v>
      </c>
      <c r="B28" s="165">
        <v>18400000</v>
      </c>
      <c r="C28" s="170" t="s">
        <v>406</v>
      </c>
      <c r="D28" s="132" t="s">
        <v>407</v>
      </c>
      <c r="E28" s="38">
        <v>3000</v>
      </c>
      <c r="F28" s="29" t="s">
        <v>100</v>
      </c>
      <c r="G28" s="79" t="s">
        <v>446</v>
      </c>
      <c r="H28" s="30" t="str">
        <f t="shared" si="8"/>
        <v>მე-3 მუხ. 1-ლი პუნქ. "ს" ქვეპუნ.</v>
      </c>
      <c r="I28" s="273"/>
      <c r="J28" s="274">
        <v>1</v>
      </c>
      <c r="K28" s="275"/>
      <c r="L28" s="276">
        <v>2021</v>
      </c>
      <c r="M28" s="288" t="s">
        <v>29</v>
      </c>
      <c r="N28" s="278" t="str">
        <f>VLOOKUP(P28,budget!$A$2:$C$99,3,0)</f>
        <v>აპარატი</v>
      </c>
      <c r="O28" s="279"/>
      <c r="P28" s="289" t="s">
        <v>88</v>
      </c>
      <c r="Q28" s="278" t="str">
        <f>VLOOKUP(P28,budget!$A$2:$B$99,2,0)</f>
        <v>ქალაქ ბათუმის მუნიციპალიტეტის მერია</v>
      </c>
      <c r="R28" s="281"/>
      <c r="S28" s="293"/>
      <c r="T28" s="283">
        <f>SUBTOTAL(9,U28:W28)</f>
        <v>0</v>
      </c>
      <c r="U28" s="294"/>
      <c r="V28" s="294"/>
      <c r="W28" s="294"/>
      <c r="X28" s="297"/>
      <c r="Y28" s="285" t="str">
        <f>IF(V28=0,"-",E28-V28)</f>
        <v>-</v>
      </c>
      <c r="Z28" s="295"/>
    </row>
    <row r="29" spans="1:26" ht="29.25" customHeight="1">
      <c r="A29" s="162"/>
      <c r="B29" s="162"/>
      <c r="C29" s="171"/>
      <c r="D29" s="132" t="s">
        <v>430</v>
      </c>
      <c r="E29" s="38">
        <v>200</v>
      </c>
      <c r="F29" s="29" t="s">
        <v>100</v>
      </c>
      <c r="G29" s="31" t="s">
        <v>446</v>
      </c>
      <c r="H29" s="30" t="str">
        <f t="shared" si="8"/>
        <v>მე-3 მუხ. 1-ლი პუნქ. "ს" ქვეპუნ.</v>
      </c>
      <c r="I29" s="273"/>
      <c r="J29" s="274">
        <v>1</v>
      </c>
      <c r="K29" s="275"/>
      <c r="L29" s="276">
        <v>2021</v>
      </c>
      <c r="M29" s="288" t="s">
        <v>29</v>
      </c>
      <c r="N29" s="278" t="str">
        <f>VLOOKUP(P29,budget!$A$2:$C$99,3,0)</f>
        <v xml:space="preserve">საკრებულო - აპარატი </v>
      </c>
      <c r="O29" s="279"/>
      <c r="P29" s="289" t="s">
        <v>325</v>
      </c>
      <c r="Q29" s="278" t="str">
        <f>VLOOKUP(P29,budget!$A$2:$B$99,2,0)</f>
        <v>ქალაქ ბათუმის მუნიციპალიტეტის საკრებულო</v>
      </c>
      <c r="R29" s="281"/>
      <c r="S29" s="296"/>
      <c r="T29" s="283">
        <f t="shared" si="2"/>
        <v>0</v>
      </c>
      <c r="U29" s="294"/>
      <c r="V29" s="294"/>
      <c r="W29" s="294"/>
      <c r="X29" s="297"/>
      <c r="Y29" s="285" t="str">
        <f t="shared" si="3"/>
        <v>-</v>
      </c>
      <c r="Z29" s="295"/>
    </row>
    <row r="30" spans="1:26" ht="27.75" customHeight="1">
      <c r="A30" s="161">
        <v>9</v>
      </c>
      <c r="B30" s="161">
        <v>18500000</v>
      </c>
      <c r="C30" s="178" t="s">
        <v>373</v>
      </c>
      <c r="D30" s="60" t="s">
        <v>149</v>
      </c>
      <c r="E30" s="38">
        <f>1800+250</f>
        <v>2050</v>
      </c>
      <c r="F30" s="81" t="s">
        <v>28</v>
      </c>
      <c r="G30" s="83" t="s">
        <v>443</v>
      </c>
      <c r="H30" s="82" t="str">
        <f t="shared" si="8"/>
        <v>მე-10(1) მუხლ. მე-3 პუნქ. ”ვ” ქვეპ.</v>
      </c>
      <c r="I30" s="279" t="s">
        <v>461</v>
      </c>
      <c r="J30" s="274">
        <v>2</v>
      </c>
      <c r="K30" s="301"/>
      <c r="L30" s="288">
        <v>2021</v>
      </c>
      <c r="M30" s="302" t="s">
        <v>80</v>
      </c>
      <c r="N30" s="278" t="str">
        <f>VLOOKUP(P30,[6]budget!$A$2:$C$104,3,0)</f>
        <v>აპარატი</v>
      </c>
      <c r="O30" s="279" t="s">
        <v>302</v>
      </c>
      <c r="P30" s="280" t="s">
        <v>88</v>
      </c>
      <c r="Q30" s="278" t="str">
        <f>VLOOKUP(P30,[6]budget!$A$2:$B$104,2,0)</f>
        <v>ქალაქ ბათუმის მუნიციპალიტეტის მერია</v>
      </c>
      <c r="R30" s="290"/>
      <c r="S30" s="293" t="s">
        <v>677</v>
      </c>
      <c r="T30" s="283"/>
      <c r="U30" s="294"/>
      <c r="V30" s="294">
        <v>1795</v>
      </c>
      <c r="W30" s="294"/>
      <c r="X30" s="297" t="s">
        <v>678</v>
      </c>
      <c r="Y30" s="303">
        <f t="shared" si="3"/>
        <v>255</v>
      </c>
      <c r="Z30" s="295"/>
    </row>
    <row r="31" spans="1:26" ht="30.75" customHeight="1">
      <c r="A31" s="165"/>
      <c r="B31" s="165"/>
      <c r="C31" s="179"/>
      <c r="D31" s="132" t="s">
        <v>149</v>
      </c>
      <c r="E31" s="38">
        <v>1500</v>
      </c>
      <c r="F31" s="29" t="s">
        <v>28</v>
      </c>
      <c r="G31" s="31" t="s">
        <v>446</v>
      </c>
      <c r="H31" s="30" t="str">
        <f t="shared" ref="H31" si="9">M31</f>
        <v>მე-10(1) მუხლ. მე-3 პუნქ. ”ვ” ქვეპ.</v>
      </c>
      <c r="I31" s="273"/>
      <c r="J31" s="274">
        <v>1</v>
      </c>
      <c r="K31" s="275"/>
      <c r="L31" s="276">
        <v>2021</v>
      </c>
      <c r="M31" s="277" t="s">
        <v>80</v>
      </c>
      <c r="N31" s="278" t="str">
        <f>VLOOKUP(P31,budget!$A$2:$C$99,3,0)</f>
        <v xml:space="preserve">საკრებულო - აპარატი </v>
      </c>
      <c r="O31" s="279"/>
      <c r="P31" s="289" t="s">
        <v>325</v>
      </c>
      <c r="Q31" s="278" t="str">
        <f>VLOOKUP(P31,budget!$A$2:$B$99,2,0)</f>
        <v>ქალაქ ბათუმის მუნიციპალიტეტის საკრებულო</v>
      </c>
      <c r="R31" s="281"/>
      <c r="S31" s="296"/>
      <c r="T31" s="283">
        <f t="shared" ref="T31" si="10">SUBTOTAL(9,U31:W31)</f>
        <v>0</v>
      </c>
      <c r="U31" s="283"/>
      <c r="V31" s="283"/>
      <c r="W31" s="283"/>
      <c r="X31" s="284"/>
      <c r="Y31" s="285" t="str">
        <f>IF(V31=0,"-",#REF!-V31)</f>
        <v>-</v>
      </c>
      <c r="Z31" s="295"/>
    </row>
    <row r="32" spans="1:26" ht="30.75" customHeight="1">
      <c r="A32" s="165"/>
      <c r="B32" s="165"/>
      <c r="C32" s="179"/>
      <c r="D32" s="132" t="s">
        <v>149</v>
      </c>
      <c r="E32" s="38">
        <v>3000</v>
      </c>
      <c r="F32" s="29" t="s">
        <v>28</v>
      </c>
      <c r="G32" s="31" t="s">
        <v>447</v>
      </c>
      <c r="H32" s="30" t="str">
        <f t="shared" si="8"/>
        <v>მე-10(1) მუხლ. მე-3 პუნქ. ”ვ” ქვეპ.</v>
      </c>
      <c r="I32" s="273" t="s">
        <v>461</v>
      </c>
      <c r="J32" s="274">
        <v>8</v>
      </c>
      <c r="K32" s="275"/>
      <c r="L32" s="276">
        <v>2021</v>
      </c>
      <c r="M32" s="277" t="s">
        <v>80</v>
      </c>
      <c r="N32" s="278" t="str">
        <f>VLOOKUP(P32,budget!$A$2:$C$99,3,0)</f>
        <v>აპარატი - პროტოკოლი</v>
      </c>
      <c r="O32" s="279"/>
      <c r="P32" s="289" t="s">
        <v>232</v>
      </c>
      <c r="Q32" s="278" t="str">
        <f>VLOOKUP(P32,budget!$A$2:$B$99,2,0)</f>
        <v>ქალაქ ბათუმის მუნიციპალიტეტის მერია</v>
      </c>
      <c r="R32" s="281"/>
      <c r="S32" s="296"/>
      <c r="T32" s="283">
        <f t="shared" si="2"/>
        <v>0</v>
      </c>
      <c r="U32" s="283"/>
      <c r="V32" s="283"/>
      <c r="W32" s="283"/>
      <c r="X32" s="284"/>
      <c r="Y32" s="285" t="str">
        <f>IF(V32=0,"-",#REF!-V32)</f>
        <v>-</v>
      </c>
      <c r="Z32" s="295"/>
    </row>
    <row r="33" spans="1:26" ht="36" customHeight="1">
      <c r="A33" s="162"/>
      <c r="B33" s="162"/>
      <c r="C33" s="180"/>
      <c r="D33" s="132" t="s">
        <v>350</v>
      </c>
      <c r="E33" s="38">
        <v>660</v>
      </c>
      <c r="F33" s="29" t="s">
        <v>22</v>
      </c>
      <c r="G33" s="31" t="s">
        <v>446</v>
      </c>
      <c r="H33" s="30">
        <f t="shared" si="8"/>
        <v>0</v>
      </c>
      <c r="I33" s="273"/>
      <c r="J33" s="274">
        <v>1</v>
      </c>
      <c r="K33" s="275"/>
      <c r="L33" s="276">
        <v>2021</v>
      </c>
      <c r="M33" s="277"/>
      <c r="N33" s="278" t="str">
        <f>VLOOKUP(P33,budget!$A$2:$C$99,3,0)</f>
        <v>ახალგაზ. და სპორტი</v>
      </c>
      <c r="O33" s="279"/>
      <c r="P33" s="289" t="s">
        <v>314</v>
      </c>
      <c r="Q33" s="278" t="str">
        <f>VLOOKUP(P33,budget!$A$2:$B$99,2,0)</f>
        <v>ინტელექტუალური და შემეცნებითი პროექტების მხარდაჭერა</v>
      </c>
      <c r="R33" s="281"/>
      <c r="S33" s="296" t="s">
        <v>672</v>
      </c>
      <c r="T33" s="283">
        <f t="shared" si="2"/>
        <v>635</v>
      </c>
      <c r="U33" s="283"/>
      <c r="V33" s="283">
        <v>635</v>
      </c>
      <c r="W33" s="283"/>
      <c r="X33" s="284" t="s">
        <v>673</v>
      </c>
      <c r="Y33" s="285">
        <f t="shared" si="3"/>
        <v>25</v>
      </c>
      <c r="Z33" s="295"/>
    </row>
    <row r="34" spans="1:26" ht="37.5" customHeight="1">
      <c r="A34" s="58">
        <v>10</v>
      </c>
      <c r="B34" s="86">
        <v>22100000</v>
      </c>
      <c r="C34" s="92" t="s">
        <v>351</v>
      </c>
      <c r="D34" s="132" t="s">
        <v>352</v>
      </c>
      <c r="E34" s="38">
        <f>5340-1603</f>
        <v>3737</v>
      </c>
      <c r="F34" s="29" t="s">
        <v>22</v>
      </c>
      <c r="G34" s="79" t="s">
        <v>446</v>
      </c>
      <c r="H34" s="51">
        <f t="shared" si="8"/>
        <v>0</v>
      </c>
      <c r="I34" s="304" t="s">
        <v>656</v>
      </c>
      <c r="J34" s="274">
        <v>11</v>
      </c>
      <c r="K34" s="305"/>
      <c r="L34" s="276">
        <v>2021</v>
      </c>
      <c r="M34" s="277"/>
      <c r="N34" s="278" t="str">
        <f>VLOOKUP(P34,budget!$A$2:$C$99,3,0)</f>
        <v>ახალგაზ. და სპორტი</v>
      </c>
      <c r="O34" s="279"/>
      <c r="P34" s="289" t="s">
        <v>314</v>
      </c>
      <c r="Q34" s="278" t="str">
        <f>VLOOKUP(P34,budget!$A$2:$B$99,2,0)</f>
        <v>ინტელექტუალური და შემეცნებითი პროექტების მხარდაჭერა</v>
      </c>
      <c r="R34" s="290"/>
      <c r="S34" s="282" t="s">
        <v>674</v>
      </c>
      <c r="T34" s="283">
        <f t="shared" si="2"/>
        <v>3737</v>
      </c>
      <c r="U34" s="283"/>
      <c r="V34" s="283">
        <v>3737</v>
      </c>
      <c r="W34" s="283"/>
      <c r="X34" s="284" t="s">
        <v>675</v>
      </c>
      <c r="Y34" s="285">
        <f t="shared" si="3"/>
        <v>0</v>
      </c>
      <c r="Z34" s="295"/>
    </row>
    <row r="35" spans="1:26" ht="36" customHeight="1">
      <c r="A35" s="42">
        <v>11</v>
      </c>
      <c r="B35" s="87">
        <v>22300000</v>
      </c>
      <c r="C35" s="89" t="s">
        <v>328</v>
      </c>
      <c r="D35" s="132" t="s">
        <v>328</v>
      </c>
      <c r="E35" s="38">
        <v>300</v>
      </c>
      <c r="F35" s="29" t="s">
        <v>28</v>
      </c>
      <c r="G35" s="31" t="s">
        <v>446</v>
      </c>
      <c r="H35" s="30" t="str">
        <f t="shared" si="8"/>
        <v>მე-3 მუხ. 1-ლი პუნქ. "ს" ქვეპუნ.</v>
      </c>
      <c r="I35" s="273"/>
      <c r="J35" s="274">
        <v>1</v>
      </c>
      <c r="K35" s="275"/>
      <c r="L35" s="276">
        <v>2021</v>
      </c>
      <c r="M35" s="277" t="s">
        <v>29</v>
      </c>
      <c r="N35" s="278" t="str">
        <f>VLOOKUP(P35,budget!$A$2:$C$99,3,0)</f>
        <v xml:space="preserve">საკრებულო - აპარატი </v>
      </c>
      <c r="O35" s="306"/>
      <c r="P35" s="289" t="s">
        <v>325</v>
      </c>
      <c r="Q35" s="278" t="str">
        <f>VLOOKUP(P35,budget!$A$2:$B$99,2,0)</f>
        <v>ქალაქ ბათუმის მუნიციპალიტეტის საკრებულო</v>
      </c>
      <c r="R35" s="281"/>
      <c r="S35" s="296"/>
      <c r="T35" s="283">
        <f t="shared" si="2"/>
        <v>0</v>
      </c>
      <c r="U35" s="283"/>
      <c r="V35" s="283"/>
      <c r="W35" s="283"/>
      <c r="X35" s="284"/>
      <c r="Y35" s="285" t="str">
        <f t="shared" si="3"/>
        <v>-</v>
      </c>
      <c r="Z35" s="295"/>
    </row>
    <row r="36" spans="1:26" ht="30" customHeight="1">
      <c r="A36" s="161">
        <v>12</v>
      </c>
      <c r="B36" s="161">
        <v>22800000</v>
      </c>
      <c r="C36" s="163" t="s">
        <v>5</v>
      </c>
      <c r="D36" s="132" t="s">
        <v>20</v>
      </c>
      <c r="E36" s="38">
        <f>10000-1112</f>
        <v>8888</v>
      </c>
      <c r="F36" s="29" t="s">
        <v>22</v>
      </c>
      <c r="G36" s="79" t="s">
        <v>446</v>
      </c>
      <c r="H36" s="30"/>
      <c r="I36" s="304" t="s">
        <v>646</v>
      </c>
      <c r="J36" s="274">
        <v>11</v>
      </c>
      <c r="K36" s="305"/>
      <c r="L36" s="276">
        <v>2021</v>
      </c>
      <c r="M36" s="288"/>
      <c r="N36" s="278" t="str">
        <f>VLOOKUP(P36,budget!$A$2:$C$99,3,0)</f>
        <v>აპარატი - მატერ-ტექნიკ.</v>
      </c>
      <c r="O36" s="279"/>
      <c r="P36" s="289" t="s">
        <v>227</v>
      </c>
      <c r="Q36" s="278" t="str">
        <f>VLOOKUP(P36,budget!$A$2:$B$99,2,0)</f>
        <v>ქალაქ ბათუმის მუნიციპალიტეტის მერია</v>
      </c>
      <c r="R36" s="290"/>
      <c r="S36" s="291" t="s">
        <v>559</v>
      </c>
      <c r="T36" s="283">
        <f t="shared" si="2"/>
        <v>8888</v>
      </c>
      <c r="U36" s="283"/>
      <c r="V36" s="283">
        <v>8888</v>
      </c>
      <c r="W36" s="283"/>
      <c r="X36" s="284" t="s">
        <v>558</v>
      </c>
      <c r="Y36" s="285">
        <f t="shared" si="3"/>
        <v>0</v>
      </c>
      <c r="Z36" s="295"/>
    </row>
    <row r="37" spans="1:26" ht="29.25" customHeight="1">
      <c r="A37" s="162"/>
      <c r="B37" s="162"/>
      <c r="C37" s="164"/>
      <c r="D37" s="132" t="s">
        <v>20</v>
      </c>
      <c r="E37" s="38">
        <f>1300-26</f>
        <v>1274</v>
      </c>
      <c r="F37" s="29" t="s">
        <v>22</v>
      </c>
      <c r="G37" s="31" t="s">
        <v>446</v>
      </c>
      <c r="H37" s="30"/>
      <c r="I37" s="273" t="s">
        <v>655</v>
      </c>
      <c r="J37" s="274">
        <v>11</v>
      </c>
      <c r="K37" s="275"/>
      <c r="L37" s="276">
        <v>2021</v>
      </c>
      <c r="M37" s="292"/>
      <c r="N37" s="278" t="str">
        <f>VLOOKUP(P37,budget!$A$2:$C$99,3,0)</f>
        <v xml:space="preserve">საკრებულო - აპარატი </v>
      </c>
      <c r="O37" s="279"/>
      <c r="P37" s="289" t="s">
        <v>325</v>
      </c>
      <c r="Q37" s="278" t="str">
        <f>VLOOKUP(P37,budget!$A$2:$B$99,2,0)</f>
        <v>ქალაქ ბათუმის მუნიციპალიტეტის საკრებულო</v>
      </c>
      <c r="R37" s="281"/>
      <c r="S37" s="296" t="s">
        <v>671</v>
      </c>
      <c r="T37" s="283">
        <f t="shared" si="2"/>
        <v>1274</v>
      </c>
      <c r="U37" s="283"/>
      <c r="V37" s="283">
        <v>1274</v>
      </c>
      <c r="W37" s="283"/>
      <c r="X37" s="284" t="s">
        <v>560</v>
      </c>
      <c r="Y37" s="285">
        <f t="shared" si="3"/>
        <v>0</v>
      </c>
      <c r="Z37" s="295"/>
    </row>
    <row r="38" spans="1:26" ht="25.5" customHeight="1">
      <c r="A38" s="174">
        <v>13</v>
      </c>
      <c r="B38" s="161">
        <v>30100000</v>
      </c>
      <c r="C38" s="161" t="s">
        <v>8</v>
      </c>
      <c r="D38" s="132" t="s">
        <v>9</v>
      </c>
      <c r="E38" s="38">
        <f>10000-1159</f>
        <v>8841</v>
      </c>
      <c r="F38" s="29" t="s">
        <v>22</v>
      </c>
      <c r="G38" s="79" t="s">
        <v>446</v>
      </c>
      <c r="H38" s="30"/>
      <c r="I38" s="273" t="s">
        <v>647</v>
      </c>
      <c r="J38" s="274">
        <v>11</v>
      </c>
      <c r="K38" s="305"/>
      <c r="L38" s="276">
        <v>2021</v>
      </c>
      <c r="M38" s="288"/>
      <c r="N38" s="278" t="str">
        <f>VLOOKUP(P38,budget!$A$2:$C$99,3,0)</f>
        <v>აპარატი - მატერ-ტექნიკ.</v>
      </c>
      <c r="O38" s="279"/>
      <c r="P38" s="289" t="s">
        <v>227</v>
      </c>
      <c r="Q38" s="278" t="str">
        <f>VLOOKUP(P38,budget!$A$2:$B$99,2,0)</f>
        <v>ქალაქ ბათუმის მუნიციპალიტეტის მერია</v>
      </c>
      <c r="R38" s="290"/>
      <c r="S38" s="291" t="s">
        <v>561</v>
      </c>
      <c r="T38" s="283">
        <f t="shared" si="2"/>
        <v>8841</v>
      </c>
      <c r="U38" s="283"/>
      <c r="V38" s="283">
        <v>8841</v>
      </c>
      <c r="W38" s="283"/>
      <c r="X38" s="284" t="s">
        <v>560</v>
      </c>
      <c r="Y38" s="285">
        <f t="shared" si="3"/>
        <v>0</v>
      </c>
      <c r="Z38" s="295"/>
    </row>
    <row r="39" spans="1:26" ht="29.25" customHeight="1">
      <c r="A39" s="176"/>
      <c r="B39" s="165"/>
      <c r="C39" s="165"/>
      <c r="D39" s="132" t="s">
        <v>9</v>
      </c>
      <c r="E39" s="38">
        <f>1300-168</f>
        <v>1132</v>
      </c>
      <c r="F39" s="29" t="s">
        <v>22</v>
      </c>
      <c r="G39" s="31" t="s">
        <v>446</v>
      </c>
      <c r="H39" s="30"/>
      <c r="I39" s="273" t="s">
        <v>654</v>
      </c>
      <c r="J39" s="274">
        <v>11</v>
      </c>
      <c r="K39" s="275"/>
      <c r="L39" s="276">
        <v>2021</v>
      </c>
      <c r="M39" s="292"/>
      <c r="N39" s="278" t="str">
        <f>VLOOKUP(P39,budget!$A$2:$C$99,3,0)</f>
        <v xml:space="preserve">საკრებულო - აპარატი </v>
      </c>
      <c r="O39" s="279"/>
      <c r="P39" s="289" t="s">
        <v>325</v>
      </c>
      <c r="Q39" s="278" t="str">
        <f>VLOOKUP(P39,budget!$A$2:$B$99,2,0)</f>
        <v>ქალაქ ბათუმის მუნიციპალიტეტის საკრებულო</v>
      </c>
      <c r="R39" s="281"/>
      <c r="S39" s="296" t="s">
        <v>670</v>
      </c>
      <c r="T39" s="283"/>
      <c r="U39" s="283"/>
      <c r="V39" s="283">
        <v>1131</v>
      </c>
      <c r="W39" s="283"/>
      <c r="X39" s="284" t="s">
        <v>560</v>
      </c>
      <c r="Y39" s="285">
        <f t="shared" si="3"/>
        <v>1</v>
      </c>
      <c r="Z39" s="295"/>
    </row>
    <row r="40" spans="1:26" ht="24">
      <c r="A40" s="176"/>
      <c r="B40" s="165"/>
      <c r="C40" s="165"/>
      <c r="D40" s="132" t="s">
        <v>93</v>
      </c>
      <c r="E40" s="38">
        <v>22000</v>
      </c>
      <c r="F40" s="41" t="s">
        <v>100</v>
      </c>
      <c r="G40" s="79" t="s">
        <v>446</v>
      </c>
      <c r="H40" s="30"/>
      <c r="I40" s="286"/>
      <c r="J40" s="274">
        <v>1</v>
      </c>
      <c r="K40" s="305"/>
      <c r="L40" s="276">
        <v>2021</v>
      </c>
      <c r="M40" s="306"/>
      <c r="N40" s="278" t="str">
        <f>VLOOKUP(P40,budget!$A$2:$C$99,3,0)</f>
        <v>აპარატი - მატერ-ტექნიკ.</v>
      </c>
      <c r="O40" s="306"/>
      <c r="P40" s="289" t="s">
        <v>227</v>
      </c>
      <c r="Q40" s="278" t="str">
        <f>VLOOKUP(P40,budget!$A$2:$B$99,2,0)</f>
        <v>ქალაქ ბათუმის მუნიციპალიტეტის მერია</v>
      </c>
      <c r="R40" s="290"/>
      <c r="S40" s="291" t="s">
        <v>688</v>
      </c>
      <c r="T40" s="283">
        <f t="shared" ref="T40" si="11">SUBTOTAL(9,U40:W40)</f>
        <v>11310</v>
      </c>
      <c r="U40" s="283"/>
      <c r="V40" s="283">
        <f>5010+6300</f>
        <v>11310</v>
      </c>
      <c r="W40" s="283"/>
      <c r="X40" s="284" t="s">
        <v>574</v>
      </c>
      <c r="Y40" s="285">
        <f t="shared" si="3"/>
        <v>10690</v>
      </c>
      <c r="Z40" s="295"/>
    </row>
    <row r="41" spans="1:26" ht="25.5" customHeight="1">
      <c r="A41" s="176"/>
      <c r="B41" s="165"/>
      <c r="C41" s="165"/>
      <c r="D41" s="132" t="s">
        <v>93</v>
      </c>
      <c r="E41" s="38">
        <v>4500</v>
      </c>
      <c r="F41" s="41" t="s">
        <v>100</v>
      </c>
      <c r="G41" s="31" t="s">
        <v>446</v>
      </c>
      <c r="H41" s="30"/>
      <c r="I41" s="286"/>
      <c r="J41" s="274">
        <v>1</v>
      </c>
      <c r="K41" s="305"/>
      <c r="L41" s="276">
        <v>2021</v>
      </c>
      <c r="M41" s="288"/>
      <c r="N41" s="278" t="str">
        <f>VLOOKUP(P41,budget!$A$2:$C$99,3,0)</f>
        <v xml:space="preserve">საკრებულო - აპარატი </v>
      </c>
      <c r="O41" s="306"/>
      <c r="P41" s="289" t="s">
        <v>325</v>
      </c>
      <c r="Q41" s="278" t="str">
        <f>VLOOKUP(P41,budget!$A$2:$B$99,2,0)</f>
        <v>ქალაქ ბათუმის მუნიციპალიტეტის საკრებულო</v>
      </c>
      <c r="R41" s="290"/>
      <c r="S41" s="282" t="s">
        <v>606</v>
      </c>
      <c r="T41" s="283">
        <f t="shared" si="2"/>
        <v>4492.3</v>
      </c>
      <c r="U41" s="283"/>
      <c r="V41" s="283">
        <v>4492.3</v>
      </c>
      <c r="W41" s="283"/>
      <c r="X41" s="284" t="s">
        <v>574</v>
      </c>
      <c r="Y41" s="285">
        <f t="shared" si="3"/>
        <v>7.6999999999998181</v>
      </c>
      <c r="Z41" s="295"/>
    </row>
    <row r="42" spans="1:26" ht="25.5" customHeight="1">
      <c r="A42" s="176"/>
      <c r="B42" s="165"/>
      <c r="C42" s="165"/>
      <c r="D42" s="132" t="s">
        <v>10</v>
      </c>
      <c r="E42" s="38">
        <f>15000-5122</f>
        <v>9878</v>
      </c>
      <c r="F42" s="45" t="s">
        <v>22</v>
      </c>
      <c r="G42" s="46" t="s">
        <v>443</v>
      </c>
      <c r="H42" s="47"/>
      <c r="I42" s="273" t="s">
        <v>648</v>
      </c>
      <c r="J42" s="274">
        <v>11</v>
      </c>
      <c r="K42" s="305"/>
      <c r="L42" s="276">
        <v>2021</v>
      </c>
      <c r="M42" s="288"/>
      <c r="N42" s="278" t="str">
        <f>VLOOKUP(P42,budget!$A$2:$C$99,3,0)</f>
        <v>აპარატი - მატერ-ტექნიკ.</v>
      </c>
      <c r="O42" s="279"/>
      <c r="P42" s="289" t="s">
        <v>227</v>
      </c>
      <c r="Q42" s="278" t="str">
        <f>VLOOKUP(P42,budget!$A$2:$B$99,2,0)</f>
        <v>ქალაქ ბათუმის მუნიციპალიტეტის მერია</v>
      </c>
      <c r="R42" s="290"/>
      <c r="S42" s="291" t="s">
        <v>565</v>
      </c>
      <c r="T42" s="283">
        <f t="shared" si="2"/>
        <v>9878</v>
      </c>
      <c r="U42" s="283"/>
      <c r="V42" s="283">
        <v>9878</v>
      </c>
      <c r="W42" s="283"/>
      <c r="X42" s="284" t="s">
        <v>564</v>
      </c>
      <c r="Y42" s="285">
        <f t="shared" si="3"/>
        <v>0</v>
      </c>
      <c r="Z42" s="295"/>
    </row>
    <row r="43" spans="1:26" ht="25.5" customHeight="1">
      <c r="A43" s="176"/>
      <c r="B43" s="165"/>
      <c r="C43" s="165"/>
      <c r="D43" s="132" t="s">
        <v>10</v>
      </c>
      <c r="E43" s="38">
        <v>3000</v>
      </c>
      <c r="F43" s="29" t="s">
        <v>22</v>
      </c>
      <c r="G43" s="31" t="s">
        <v>446</v>
      </c>
      <c r="H43" s="30"/>
      <c r="I43" s="273"/>
      <c r="J43" s="274">
        <v>1</v>
      </c>
      <c r="K43" s="275"/>
      <c r="L43" s="276">
        <v>2021</v>
      </c>
      <c r="M43" s="292"/>
      <c r="N43" s="278" t="str">
        <f>VLOOKUP(P43,budget!$A$2:$C$99,3,0)</f>
        <v xml:space="preserve">საკრებულო - აპარატი </v>
      </c>
      <c r="O43" s="279"/>
      <c r="P43" s="289" t="s">
        <v>325</v>
      </c>
      <c r="Q43" s="278" t="str">
        <f>VLOOKUP(P43,budget!$A$2:$B$99,2,0)</f>
        <v>ქალაქ ბათუმის მუნიციპალიტეტის საკრებულო</v>
      </c>
      <c r="R43" s="281"/>
      <c r="S43" s="296"/>
      <c r="T43" s="283">
        <f t="shared" si="2"/>
        <v>0</v>
      </c>
      <c r="U43" s="283"/>
      <c r="V43" s="283"/>
      <c r="W43" s="283"/>
      <c r="X43" s="284"/>
      <c r="Y43" s="285" t="str">
        <f t="shared" si="3"/>
        <v>-</v>
      </c>
      <c r="Z43" s="295"/>
    </row>
    <row r="44" spans="1:26" ht="29.25" customHeight="1">
      <c r="A44" s="176"/>
      <c r="B44" s="165"/>
      <c r="C44" s="165"/>
      <c r="D44" s="132" t="s">
        <v>10</v>
      </c>
      <c r="E44" s="38">
        <v>1500</v>
      </c>
      <c r="F44" s="29" t="s">
        <v>100</v>
      </c>
      <c r="G44" s="31" t="s">
        <v>446</v>
      </c>
      <c r="H44" s="30"/>
      <c r="I44" s="273"/>
      <c r="J44" s="274">
        <v>1</v>
      </c>
      <c r="K44" s="275"/>
      <c r="L44" s="276">
        <v>2021</v>
      </c>
      <c r="M44" s="292"/>
      <c r="N44" s="278" t="str">
        <f>VLOOKUP(P44,budget!$A$2:$C$99,3,0)</f>
        <v xml:space="preserve">საკრებულო - აპარატი </v>
      </c>
      <c r="O44" s="279"/>
      <c r="P44" s="289" t="s">
        <v>325</v>
      </c>
      <c r="Q44" s="278" t="str">
        <f>VLOOKUP(P44,budget!$A$2:$B$99,2,0)</f>
        <v>ქალაქ ბათუმის მუნიციპალიტეტის საკრებულო</v>
      </c>
      <c r="R44" s="281"/>
      <c r="S44" s="296"/>
      <c r="T44" s="283"/>
      <c r="U44" s="283"/>
      <c r="V44" s="283"/>
      <c r="W44" s="283"/>
      <c r="X44" s="284"/>
      <c r="Y44" s="285" t="str">
        <f>IF(V44=0,"-",E44-V44)</f>
        <v>-</v>
      </c>
      <c r="Z44" s="295"/>
    </row>
    <row r="45" spans="1:26" ht="29.25" customHeight="1">
      <c r="A45" s="175"/>
      <c r="B45" s="162"/>
      <c r="C45" s="162"/>
      <c r="D45" s="60" t="s">
        <v>469</v>
      </c>
      <c r="E45" s="38">
        <v>50</v>
      </c>
      <c r="F45" s="81" t="s">
        <v>28</v>
      </c>
      <c r="G45" s="84" t="s">
        <v>446</v>
      </c>
      <c r="H45" s="82" t="str">
        <f>M45</f>
        <v>მე-9 მუხლ. მე-3(1) პუნქტი ”ა” ქვეპ..</v>
      </c>
      <c r="I45" s="280" t="s">
        <v>461</v>
      </c>
      <c r="J45" s="274">
        <v>4</v>
      </c>
      <c r="K45" s="275"/>
      <c r="L45" s="288">
        <v>2021</v>
      </c>
      <c r="M45" s="288" t="s">
        <v>470</v>
      </c>
      <c r="N45" s="278" t="str">
        <f>VLOOKUP(P45,[7]budget!$A$2:$C$104,3,0)</f>
        <v>აპარატი - მატერ-ტექნიკ.</v>
      </c>
      <c r="O45" s="279"/>
      <c r="P45" s="289" t="s">
        <v>227</v>
      </c>
      <c r="Q45" s="278" t="str">
        <f>VLOOKUP(P45,[7]budget!$A$2:$B$104,2,0)</f>
        <v>ქალაქ ბათუმის მუნიციპალიტეტის მერია</v>
      </c>
      <c r="R45" s="281"/>
      <c r="S45" s="293"/>
      <c r="T45" s="307"/>
      <c r="U45" s="307"/>
      <c r="V45" s="283"/>
      <c r="W45" s="283"/>
      <c r="X45" s="308"/>
      <c r="Y45" s="285" t="str">
        <f t="shared" si="3"/>
        <v>-</v>
      </c>
      <c r="Z45" s="295"/>
    </row>
    <row r="46" spans="1:26" ht="25.5" customHeight="1">
      <c r="A46" s="159">
        <v>14</v>
      </c>
      <c r="B46" s="160">
        <v>30200000</v>
      </c>
      <c r="C46" s="177" t="s">
        <v>339</v>
      </c>
      <c r="D46" s="132" t="s">
        <v>94</v>
      </c>
      <c r="E46" s="38">
        <v>10000</v>
      </c>
      <c r="F46" s="29" t="s">
        <v>100</v>
      </c>
      <c r="G46" s="79" t="s">
        <v>447</v>
      </c>
      <c r="H46" s="30"/>
      <c r="I46" s="304"/>
      <c r="J46" s="274">
        <v>1</v>
      </c>
      <c r="K46" s="305"/>
      <c r="L46" s="276">
        <v>2021</v>
      </c>
      <c r="M46" s="288"/>
      <c r="N46" s="278" t="str">
        <f>VLOOKUP(P46,budget!$A$2:$C$99,3,0)</f>
        <v>აპარატი - IT</v>
      </c>
      <c r="O46" s="306"/>
      <c r="P46" s="289" t="s">
        <v>228</v>
      </c>
      <c r="Q46" s="278" t="str">
        <f>VLOOKUP(P46,budget!$A$2:$B$99,2,0)</f>
        <v>ქალაქ ბათუმის მუნიციპალიტეტის მერია</v>
      </c>
      <c r="R46" s="290"/>
      <c r="S46" s="291"/>
      <c r="T46" s="283">
        <f t="shared" si="2"/>
        <v>0</v>
      </c>
      <c r="U46" s="283"/>
      <c r="V46" s="283"/>
      <c r="W46" s="283"/>
      <c r="X46" s="284"/>
      <c r="Y46" s="285" t="str">
        <f t="shared" si="3"/>
        <v>-</v>
      </c>
      <c r="Z46" s="295"/>
    </row>
    <row r="47" spans="1:26" ht="25.5" customHeight="1">
      <c r="A47" s="159"/>
      <c r="B47" s="160"/>
      <c r="C47" s="177"/>
      <c r="D47" s="152" t="s">
        <v>94</v>
      </c>
      <c r="E47" s="38">
        <v>10300</v>
      </c>
      <c r="F47" s="29" t="s">
        <v>22</v>
      </c>
      <c r="G47" s="52" t="s">
        <v>448</v>
      </c>
      <c r="H47" s="30"/>
      <c r="I47" s="304" t="s">
        <v>461</v>
      </c>
      <c r="J47" s="274">
        <v>12</v>
      </c>
      <c r="K47" s="305"/>
      <c r="L47" s="276">
        <v>2021</v>
      </c>
      <c r="M47" s="288"/>
      <c r="N47" s="278" t="str">
        <f>VLOOKUP(P47,budget!$A$2:$C$99,3,0)</f>
        <v>აპარატი - IT</v>
      </c>
      <c r="O47" s="306"/>
      <c r="P47" s="289" t="s">
        <v>228</v>
      </c>
      <c r="Q47" s="278" t="str">
        <f>VLOOKUP(P47,budget!$A$2:$B$99,2,0)</f>
        <v>ქალაქ ბათუმის მუნიციპალიტეტის მერია</v>
      </c>
      <c r="R47" s="290"/>
      <c r="S47" s="291"/>
      <c r="T47" s="283">
        <f t="shared" ref="T47" si="12">SUBTOTAL(9,U47:W47)</f>
        <v>0</v>
      </c>
      <c r="U47" s="283"/>
      <c r="V47" s="283"/>
      <c r="W47" s="283"/>
      <c r="X47" s="284"/>
      <c r="Y47" s="285" t="str">
        <f t="shared" ref="Y47" si="13">IF(V47=0,"-",E47-V47)</f>
        <v>-</v>
      </c>
      <c r="Z47" s="295"/>
    </row>
    <row r="48" spans="1:26" ht="22.5" customHeight="1">
      <c r="A48" s="159"/>
      <c r="B48" s="160"/>
      <c r="C48" s="177"/>
      <c r="D48" s="132" t="s">
        <v>386</v>
      </c>
      <c r="E48" s="38">
        <v>1000</v>
      </c>
      <c r="F48" s="29" t="s">
        <v>22</v>
      </c>
      <c r="G48" s="52" t="s">
        <v>448</v>
      </c>
      <c r="H48" s="30"/>
      <c r="I48" s="300"/>
      <c r="J48" s="274">
        <v>1</v>
      </c>
      <c r="K48" s="287"/>
      <c r="L48" s="276">
        <v>2021</v>
      </c>
      <c r="M48" s="288"/>
      <c r="N48" s="278" t="str">
        <f>VLOOKUP(P48,budget!$A$2:$C$99,3,0)</f>
        <v>აპარატი - IT</v>
      </c>
      <c r="O48" s="279"/>
      <c r="P48" s="289" t="s">
        <v>228</v>
      </c>
      <c r="Q48" s="278" t="str">
        <f>VLOOKUP(P48,budget!$A$2:$B$99,2,0)</f>
        <v>ქალაქ ბათუმის მუნიციპალიტეტის მერია</v>
      </c>
      <c r="R48" s="281"/>
      <c r="S48" s="291" t="s">
        <v>620</v>
      </c>
      <c r="T48" s="283">
        <f t="shared" si="2"/>
        <v>1000</v>
      </c>
      <c r="U48" s="283"/>
      <c r="V48" s="283">
        <v>1000</v>
      </c>
      <c r="W48" s="283"/>
      <c r="X48" s="284" t="s">
        <v>562</v>
      </c>
      <c r="Y48" s="285">
        <f t="shared" si="3"/>
        <v>0</v>
      </c>
      <c r="Z48" s="295"/>
    </row>
    <row r="49" spans="1:26" ht="22.5" customHeight="1">
      <c r="A49" s="159"/>
      <c r="B49" s="160"/>
      <c r="C49" s="177"/>
      <c r="D49" s="132" t="s">
        <v>386</v>
      </c>
      <c r="E49" s="38">
        <v>500</v>
      </c>
      <c r="F49" s="29" t="s">
        <v>22</v>
      </c>
      <c r="G49" s="31" t="s">
        <v>446</v>
      </c>
      <c r="H49" s="30"/>
      <c r="I49" s="300"/>
      <c r="J49" s="274">
        <v>1</v>
      </c>
      <c r="K49" s="287"/>
      <c r="L49" s="276">
        <v>2021</v>
      </c>
      <c r="M49" s="288"/>
      <c r="N49" s="278" t="str">
        <f>VLOOKUP(P49,budget!$A$2:$C$99,3,0)</f>
        <v xml:space="preserve">საკრებულო - აპარატი </v>
      </c>
      <c r="O49" s="279"/>
      <c r="P49" s="289" t="s">
        <v>325</v>
      </c>
      <c r="Q49" s="278" t="str">
        <f>VLOOKUP(P49,budget!$A$2:$B$99,2,0)</f>
        <v>ქალაქ ბათუმის მუნიციპალიტეტის საკრებულო</v>
      </c>
      <c r="R49" s="281"/>
      <c r="S49" s="282" t="s">
        <v>563</v>
      </c>
      <c r="T49" s="283">
        <f>SUBTOTAL(9,U49:V49)</f>
        <v>493</v>
      </c>
      <c r="U49" s="283"/>
      <c r="V49" s="283">
        <v>493</v>
      </c>
      <c r="X49" s="284" t="s">
        <v>562</v>
      </c>
      <c r="Y49" s="285">
        <f t="shared" si="3"/>
        <v>7</v>
      </c>
      <c r="Z49" s="295"/>
    </row>
    <row r="50" spans="1:26" ht="25.5" customHeight="1">
      <c r="A50" s="159"/>
      <c r="B50" s="160"/>
      <c r="C50" s="177"/>
      <c r="D50" s="132" t="s">
        <v>161</v>
      </c>
      <c r="E50" s="38">
        <v>2000</v>
      </c>
      <c r="F50" s="29" t="s">
        <v>323</v>
      </c>
      <c r="G50" s="31" t="s">
        <v>447</v>
      </c>
      <c r="H50" s="30"/>
      <c r="I50" s="300">
        <v>-4000</v>
      </c>
      <c r="J50" s="274">
        <v>1</v>
      </c>
      <c r="K50" s="287"/>
      <c r="L50" s="276">
        <v>2021</v>
      </c>
      <c r="M50" s="288"/>
      <c r="N50" s="278" t="str">
        <f>VLOOKUP(P50,budget!$A$2:$C$99,3,0)</f>
        <v>აპარატი - IT</v>
      </c>
      <c r="O50" s="279"/>
      <c r="P50" s="289" t="s">
        <v>228</v>
      </c>
      <c r="Q50" s="278" t="str">
        <f>VLOOKUP(P50,budget!$A$2:$B$99,2,0)</f>
        <v>ქალაქ ბათუმის მუნიციპალიტეტის მერია</v>
      </c>
      <c r="R50" s="281"/>
      <c r="S50" s="291"/>
      <c r="T50" s="283">
        <f t="shared" si="2"/>
        <v>0</v>
      </c>
      <c r="U50" s="283"/>
      <c r="V50" s="283"/>
      <c r="W50" s="283"/>
      <c r="X50" s="284"/>
      <c r="Y50" s="285" t="str">
        <f t="shared" si="3"/>
        <v>-</v>
      </c>
      <c r="Z50" s="295"/>
    </row>
    <row r="51" spans="1:26" ht="23.25" customHeight="1">
      <c r="A51" s="159"/>
      <c r="B51" s="160"/>
      <c r="C51" s="177"/>
      <c r="D51" s="132" t="s">
        <v>161</v>
      </c>
      <c r="E51" s="38">
        <v>500</v>
      </c>
      <c r="F51" s="29" t="s">
        <v>100</v>
      </c>
      <c r="G51" s="79" t="s">
        <v>447</v>
      </c>
      <c r="H51" s="30"/>
      <c r="I51" s="273"/>
      <c r="J51" s="274">
        <v>1</v>
      </c>
      <c r="K51" s="275"/>
      <c r="L51" s="276">
        <v>2021</v>
      </c>
      <c r="M51" s="292"/>
      <c r="N51" s="278" t="str">
        <f>VLOOKUP(P51,budget!$A$2:$C$99,3,0)</f>
        <v xml:space="preserve">საკრებულო - აპარატი </v>
      </c>
      <c r="O51" s="279"/>
      <c r="P51" s="289" t="s">
        <v>325</v>
      </c>
      <c r="Q51" s="278" t="str">
        <f>VLOOKUP(P51,budget!$A$2:$B$99,2,0)</f>
        <v>ქალაქ ბათუმის მუნიციპალიტეტის საკრებულო</v>
      </c>
      <c r="R51" s="281"/>
      <c r="S51" s="296"/>
      <c r="T51" s="283">
        <f t="shared" si="2"/>
        <v>0</v>
      </c>
      <c r="U51" s="283"/>
      <c r="V51" s="283"/>
      <c r="W51" s="283"/>
      <c r="X51" s="284"/>
      <c r="Y51" s="285" t="str">
        <f t="shared" si="3"/>
        <v>-</v>
      </c>
      <c r="Z51" s="295"/>
    </row>
    <row r="52" spans="1:26" ht="24.75" customHeight="1">
      <c r="A52" s="159"/>
      <c r="B52" s="160"/>
      <c r="C52" s="177"/>
      <c r="D52" s="132" t="s">
        <v>359</v>
      </c>
      <c r="E52" s="38">
        <v>1500</v>
      </c>
      <c r="F52" s="29" t="s">
        <v>100</v>
      </c>
      <c r="G52" s="79" t="s">
        <v>447</v>
      </c>
      <c r="H52" s="30"/>
      <c r="I52" s="273"/>
      <c r="J52" s="274">
        <v>1</v>
      </c>
      <c r="K52" s="275"/>
      <c r="L52" s="276">
        <v>2021</v>
      </c>
      <c r="M52" s="292"/>
      <c r="N52" s="278" t="str">
        <f>VLOOKUP(P52,budget!$A$2:$C$99,3,0)</f>
        <v>აპარატი - მატერ-ტექნიკ.</v>
      </c>
      <c r="O52" s="279"/>
      <c r="P52" s="309" t="s">
        <v>227</v>
      </c>
      <c r="Q52" s="278" t="str">
        <f>VLOOKUP(P52,budget!$A$2:$B$99,2,0)</f>
        <v>ქალაქ ბათუმის მუნიციპალიტეტის მერია</v>
      </c>
      <c r="R52" s="281"/>
      <c r="S52" s="296" t="s">
        <v>679</v>
      </c>
      <c r="T52" s="283">
        <f>SUBTOTAL(9,U52:W52)</f>
        <v>1312</v>
      </c>
      <c r="U52" s="283"/>
      <c r="V52" s="283">
        <v>1312</v>
      </c>
      <c r="W52" s="283"/>
      <c r="X52" s="284" t="s">
        <v>680</v>
      </c>
      <c r="Y52" s="285">
        <f>IF(V52=0,"-",E52-V52)</f>
        <v>188</v>
      </c>
      <c r="Z52" s="295"/>
    </row>
    <row r="53" spans="1:26" ht="27" customHeight="1">
      <c r="A53" s="159"/>
      <c r="B53" s="160"/>
      <c r="C53" s="177"/>
      <c r="D53" s="132" t="s">
        <v>359</v>
      </c>
      <c r="E53" s="38">
        <v>1200</v>
      </c>
      <c r="F53" s="29" t="s">
        <v>100</v>
      </c>
      <c r="G53" s="79" t="s">
        <v>447</v>
      </c>
      <c r="H53" s="30"/>
      <c r="I53" s="273">
        <v>-6800</v>
      </c>
      <c r="J53" s="274">
        <v>1</v>
      </c>
      <c r="K53" s="275"/>
      <c r="L53" s="276">
        <v>2021</v>
      </c>
      <c r="M53" s="292"/>
      <c r="N53" s="278" t="str">
        <f>VLOOKUP(P53,budget!$A$2:$C$99,3,0)</f>
        <v xml:space="preserve">საკრებულო - აპარატი </v>
      </c>
      <c r="O53" s="279"/>
      <c r="P53" s="309" t="s">
        <v>325</v>
      </c>
      <c r="Q53" s="278" t="str">
        <f>VLOOKUP(P53,budget!$A$2:$B$99,2,0)</f>
        <v>ქალაქ ბათუმის მუნიციპალიტეტის საკრებულო</v>
      </c>
      <c r="R53" s="281"/>
      <c r="S53" s="296"/>
      <c r="T53" s="283">
        <f t="shared" si="2"/>
        <v>0</v>
      </c>
      <c r="U53" s="283"/>
      <c r="V53" s="283"/>
      <c r="W53" s="283"/>
      <c r="X53" s="284"/>
      <c r="Y53" s="285" t="str">
        <f t="shared" si="3"/>
        <v>-</v>
      </c>
      <c r="Z53" s="295"/>
    </row>
    <row r="54" spans="1:26" ht="29.25" customHeight="1">
      <c r="A54" s="174">
        <v>15</v>
      </c>
      <c r="B54" s="161">
        <v>31200000</v>
      </c>
      <c r="C54" s="169" t="s">
        <v>91</v>
      </c>
      <c r="D54" s="132" t="s">
        <v>91</v>
      </c>
      <c r="E54" s="38">
        <v>300</v>
      </c>
      <c r="F54" s="29" t="s">
        <v>28</v>
      </c>
      <c r="G54" s="31" t="s">
        <v>446</v>
      </c>
      <c r="H54" s="30" t="str">
        <f>M54</f>
        <v>მე-3 მუხ. 1-ლი პუნქ. "ს" ქვეპუნ.</v>
      </c>
      <c r="I54" s="273"/>
      <c r="J54" s="274">
        <v>1</v>
      </c>
      <c r="K54" s="275"/>
      <c r="L54" s="276">
        <v>2021</v>
      </c>
      <c r="M54" s="277" t="s">
        <v>29</v>
      </c>
      <c r="N54" s="278" t="str">
        <f>VLOOKUP(P54,budget!$A$2:$C$99,3,0)</f>
        <v xml:space="preserve">საკრებულო - აპარატი </v>
      </c>
      <c r="O54" s="306"/>
      <c r="P54" s="289" t="s">
        <v>325</v>
      </c>
      <c r="Q54" s="278" t="str">
        <f>VLOOKUP(P54,budget!$A$2:$B$99,2,0)</f>
        <v>ქალაქ ბათუმის მუნიციპალიტეტის საკრებულო</v>
      </c>
      <c r="R54" s="281"/>
      <c r="S54" s="296"/>
      <c r="T54" s="283">
        <f t="shared" si="2"/>
        <v>0</v>
      </c>
      <c r="U54" s="283"/>
      <c r="V54" s="283"/>
      <c r="W54" s="283"/>
      <c r="X54" s="284"/>
      <c r="Y54" s="285" t="str">
        <f t="shared" si="3"/>
        <v>-</v>
      </c>
      <c r="Z54" s="295"/>
    </row>
    <row r="55" spans="1:26" ht="30" customHeight="1">
      <c r="A55" s="175"/>
      <c r="B55" s="162"/>
      <c r="C55" s="171"/>
      <c r="D55" s="132" t="s">
        <v>91</v>
      </c>
      <c r="E55" s="38">
        <v>2000</v>
      </c>
      <c r="F55" s="29" t="s">
        <v>28</v>
      </c>
      <c r="G55" s="79" t="s">
        <v>446</v>
      </c>
      <c r="H55" s="30" t="str">
        <f>M55</f>
        <v>მე-3 მუხ. 1-ლი პუნქ. "ს" ქვეპუნ.</v>
      </c>
      <c r="I55" s="310">
        <v>-1000</v>
      </c>
      <c r="J55" s="274">
        <v>1</v>
      </c>
      <c r="K55" s="287"/>
      <c r="L55" s="276">
        <v>2021</v>
      </c>
      <c r="M55" s="288" t="s">
        <v>29</v>
      </c>
      <c r="N55" s="278" t="str">
        <f>VLOOKUP(P55,budget!$A$2:$C$99,3,0)</f>
        <v>აპარატი - მატერ-ტექნიკ.</v>
      </c>
      <c r="O55" s="279"/>
      <c r="P55" s="289" t="s">
        <v>227</v>
      </c>
      <c r="Q55" s="278" t="str">
        <f>VLOOKUP(P55,budget!$A$2:$B$99,2,0)</f>
        <v>ქალაქ ბათუმის მუნიციპალიტეტის მერია</v>
      </c>
      <c r="R55" s="290"/>
      <c r="S55" s="291" t="s">
        <v>691</v>
      </c>
      <c r="T55" s="283">
        <f t="shared" si="2"/>
        <v>2000</v>
      </c>
      <c r="U55" s="283"/>
      <c r="V55" s="283">
        <v>2000</v>
      </c>
      <c r="W55" s="283"/>
      <c r="X55" s="284" t="s">
        <v>692</v>
      </c>
      <c r="Y55" s="285">
        <f t="shared" si="3"/>
        <v>0</v>
      </c>
      <c r="Z55" s="295"/>
    </row>
    <row r="56" spans="1:26" ht="33.75" customHeight="1">
      <c r="A56" s="174">
        <v>16</v>
      </c>
      <c r="B56" s="161">
        <v>31300000</v>
      </c>
      <c r="C56" s="169" t="s">
        <v>89</v>
      </c>
      <c r="D56" s="132" t="s">
        <v>90</v>
      </c>
      <c r="E56" s="38">
        <v>1000</v>
      </c>
      <c r="F56" s="29" t="s">
        <v>28</v>
      </c>
      <c r="G56" s="79" t="s">
        <v>446</v>
      </c>
      <c r="H56" s="30" t="str">
        <f>M56</f>
        <v>მე-3 მუხ. 1-ლი პუნქ. "ს" ქვეპუნ.</v>
      </c>
      <c r="I56" s="310">
        <v>-1000</v>
      </c>
      <c r="J56" s="274">
        <v>1</v>
      </c>
      <c r="K56" s="287"/>
      <c r="L56" s="276">
        <v>2021</v>
      </c>
      <c r="M56" s="288" t="s">
        <v>29</v>
      </c>
      <c r="N56" s="278" t="str">
        <f>VLOOKUP(P56,budget!$A$2:$C$99,3,0)</f>
        <v>აპარატი - მატერ-ტექნიკ.</v>
      </c>
      <c r="O56" s="279"/>
      <c r="P56" s="289" t="s">
        <v>227</v>
      </c>
      <c r="Q56" s="278" t="str">
        <f>VLOOKUP(P56,budget!$A$2:$B$99,2,0)</f>
        <v>ქალაქ ბათუმის მუნიციპალიტეტის მერია</v>
      </c>
      <c r="R56" s="290"/>
      <c r="S56" s="291"/>
      <c r="T56" s="283">
        <f t="shared" si="2"/>
        <v>0</v>
      </c>
      <c r="U56" s="283"/>
      <c r="V56" s="283"/>
      <c r="W56" s="283"/>
      <c r="X56" s="284"/>
      <c r="Y56" s="285" t="str">
        <f t="shared" si="3"/>
        <v>-</v>
      </c>
      <c r="Z56" s="295"/>
    </row>
    <row r="57" spans="1:26" ht="29.25" customHeight="1">
      <c r="A57" s="175"/>
      <c r="B57" s="162"/>
      <c r="C57" s="171"/>
      <c r="D57" s="132" t="s">
        <v>90</v>
      </c>
      <c r="E57" s="38">
        <v>300</v>
      </c>
      <c r="F57" s="29" t="s">
        <v>28</v>
      </c>
      <c r="G57" s="31" t="s">
        <v>446</v>
      </c>
      <c r="H57" s="30" t="str">
        <f>M57</f>
        <v>მე-3 მუხ. 1-ლი პუნქ. "ს" ქვეპუნ.</v>
      </c>
      <c r="I57" s="273"/>
      <c r="J57" s="274">
        <v>1</v>
      </c>
      <c r="K57" s="275"/>
      <c r="L57" s="276">
        <v>2021</v>
      </c>
      <c r="M57" s="277" t="s">
        <v>29</v>
      </c>
      <c r="N57" s="278" t="str">
        <f>VLOOKUP(P57,budget!$A$2:$C$99,3,0)</f>
        <v xml:space="preserve">საკრებულო - აპარატი </v>
      </c>
      <c r="O57" s="306"/>
      <c r="P57" s="289" t="s">
        <v>325</v>
      </c>
      <c r="Q57" s="278" t="str">
        <f>VLOOKUP(P57,budget!$A$2:$B$99,2,0)</f>
        <v>ქალაქ ბათუმის მუნიციპალიტეტის საკრებულო</v>
      </c>
      <c r="R57" s="281"/>
      <c r="S57" s="296"/>
      <c r="T57" s="283">
        <f t="shared" si="2"/>
        <v>0</v>
      </c>
      <c r="U57" s="283"/>
      <c r="V57" s="283"/>
      <c r="W57" s="283"/>
      <c r="X57" s="284"/>
      <c r="Y57" s="285" t="str">
        <f t="shared" si="3"/>
        <v>-</v>
      </c>
      <c r="Z57" s="295"/>
    </row>
    <row r="58" spans="1:26" ht="25.5" customHeight="1">
      <c r="A58" s="174">
        <v>17</v>
      </c>
      <c r="B58" s="161">
        <v>31400000</v>
      </c>
      <c r="C58" s="169" t="s">
        <v>160</v>
      </c>
      <c r="D58" s="132" t="s">
        <v>343</v>
      </c>
      <c r="E58" s="38">
        <f>2600-578</f>
        <v>2022</v>
      </c>
      <c r="F58" s="29" t="s">
        <v>100</v>
      </c>
      <c r="G58" s="79" t="s">
        <v>446</v>
      </c>
      <c r="H58" s="30"/>
      <c r="I58" s="273" t="s">
        <v>477</v>
      </c>
      <c r="J58" s="274">
        <v>5</v>
      </c>
      <c r="K58" s="275"/>
      <c r="L58" s="276">
        <v>2021</v>
      </c>
      <c r="M58" s="277"/>
      <c r="N58" s="278" t="str">
        <f>VLOOKUP(P58,budget!$A$2:$C$99,3,0)</f>
        <v>აპარატი - მატერ-ტექნიკ.</v>
      </c>
      <c r="O58" s="306"/>
      <c r="P58" s="289" t="s">
        <v>227</v>
      </c>
      <c r="Q58" s="278" t="str">
        <f>VLOOKUP(P58,budget!$A$2:$B$99,2,0)</f>
        <v>ქალაქ ბათუმის მუნიციპალიტეტის მერია</v>
      </c>
      <c r="R58" s="281"/>
      <c r="S58" s="293" t="s">
        <v>615</v>
      </c>
      <c r="T58" s="294">
        <f t="shared" si="2"/>
        <v>943</v>
      </c>
      <c r="U58" s="294"/>
      <c r="V58" s="294">
        <v>943</v>
      </c>
      <c r="W58" s="294"/>
      <c r="X58" s="297" t="s">
        <v>614</v>
      </c>
      <c r="Y58" s="285">
        <f t="shared" si="3"/>
        <v>1079</v>
      </c>
      <c r="Z58" s="295"/>
    </row>
    <row r="59" spans="1:26" ht="39" customHeight="1">
      <c r="A59" s="176"/>
      <c r="B59" s="165"/>
      <c r="C59" s="170"/>
      <c r="D59" s="132" t="s">
        <v>343</v>
      </c>
      <c r="E59" s="38">
        <v>578</v>
      </c>
      <c r="F59" s="29" t="s">
        <v>28</v>
      </c>
      <c r="G59" s="31" t="s">
        <v>446</v>
      </c>
      <c r="H59" s="30" t="str">
        <f>M59</f>
        <v>10(1) მუხლის მე-3 პუნქტის ,,ბ“ ქვეპუნქტი</v>
      </c>
      <c r="I59" s="273" t="s">
        <v>461</v>
      </c>
      <c r="J59" s="274">
        <v>5</v>
      </c>
      <c r="K59" s="275"/>
      <c r="L59" s="276">
        <v>2021</v>
      </c>
      <c r="M59" s="277" t="s">
        <v>478</v>
      </c>
      <c r="N59" s="278" t="str">
        <f>VLOOKUP(P59,budget!$A$2:$C$99,3,0)</f>
        <v>აპარატი - მატერ-ტექნიკ.</v>
      </c>
      <c r="O59" s="306"/>
      <c r="P59" s="289" t="s">
        <v>227</v>
      </c>
      <c r="Q59" s="278" t="str">
        <f>VLOOKUP(P59,budget!$A$2:$B$99,2,0)</f>
        <v>ქალაქ ბათუმის მუნიციპალიტეტის მერია</v>
      </c>
      <c r="R59" s="281"/>
      <c r="S59" s="293" t="s">
        <v>551</v>
      </c>
      <c r="T59" s="283">
        <f>SUBTOTAL(9,U59:W59)</f>
        <v>578</v>
      </c>
      <c r="U59" s="283"/>
      <c r="V59" s="283">
        <v>578</v>
      </c>
      <c r="W59" s="283"/>
      <c r="X59" s="284" t="s">
        <v>550</v>
      </c>
      <c r="Y59" s="285">
        <f>IF(V59=0,"-",E59-V59)</f>
        <v>0</v>
      </c>
      <c r="Z59" s="295"/>
    </row>
    <row r="60" spans="1:26" ht="25.5" customHeight="1">
      <c r="A60" s="176"/>
      <c r="B60" s="165"/>
      <c r="C60" s="170"/>
      <c r="D60" s="132" t="s">
        <v>343</v>
      </c>
      <c r="E60" s="38">
        <v>950</v>
      </c>
      <c r="F60" s="29" t="s">
        <v>100</v>
      </c>
      <c r="G60" s="31" t="s">
        <v>446</v>
      </c>
      <c r="H60" s="30"/>
      <c r="I60" s="273"/>
      <c r="J60" s="274">
        <v>1</v>
      </c>
      <c r="K60" s="275"/>
      <c r="L60" s="276">
        <v>2021</v>
      </c>
      <c r="M60" s="277"/>
      <c r="N60" s="278" t="str">
        <f>VLOOKUP(P60,budget!$A$2:$C$99,3,0)</f>
        <v xml:space="preserve">საკრებულო - აპარატი </v>
      </c>
      <c r="O60" s="306"/>
      <c r="P60" s="289" t="s">
        <v>325</v>
      </c>
      <c r="Q60" s="278" t="str">
        <f>VLOOKUP(P60,budget!$A$2:$B$99,2,0)</f>
        <v>ქალაქ ბათუმის მუნიციპალიტეტის საკრებულო</v>
      </c>
      <c r="R60" s="281"/>
      <c r="S60" s="296"/>
      <c r="T60" s="283">
        <f>SUBTOTAL(9,U60:W60)</f>
        <v>0</v>
      </c>
      <c r="U60" s="283"/>
      <c r="V60" s="283"/>
      <c r="W60" s="283"/>
      <c r="X60" s="284"/>
      <c r="Y60" s="285" t="str">
        <f>IF(V60=0,"-",E60-V60)</f>
        <v>-</v>
      </c>
      <c r="Z60" s="295"/>
    </row>
    <row r="61" spans="1:26" ht="25.5" customHeight="1">
      <c r="A61" s="176"/>
      <c r="B61" s="165"/>
      <c r="C61" s="170"/>
      <c r="D61" s="132" t="s">
        <v>433</v>
      </c>
      <c r="E61" s="38">
        <v>75</v>
      </c>
      <c r="F61" s="29" t="s">
        <v>28</v>
      </c>
      <c r="G61" s="79" t="s">
        <v>447</v>
      </c>
      <c r="H61" s="30" t="str">
        <f>M61</f>
        <v>მე-3 მუხ. 1-ლი პუნქ. "ს" ქვეპუნ.</v>
      </c>
      <c r="I61" s="273"/>
      <c r="J61" s="274">
        <v>1</v>
      </c>
      <c r="K61" s="275"/>
      <c r="L61" s="276">
        <v>2021</v>
      </c>
      <c r="M61" s="277" t="s">
        <v>29</v>
      </c>
      <c r="N61" s="278" t="str">
        <f>VLOOKUP(P61,budget!$A$2:$C$99,3,0)</f>
        <v>აპარატი - მატერ-ტექნიკ.</v>
      </c>
      <c r="O61" s="306"/>
      <c r="P61" s="289" t="s">
        <v>227</v>
      </c>
      <c r="Q61" s="278" t="str">
        <f>VLOOKUP(P61,budget!$A$2:$B$99,2,0)</f>
        <v>ქალაქ ბათუმის მუნიციპალიტეტის მერია</v>
      </c>
      <c r="R61" s="281"/>
      <c r="S61" s="293"/>
      <c r="T61" s="283">
        <f t="shared" si="2"/>
        <v>0</v>
      </c>
      <c r="U61" s="283"/>
      <c r="V61" s="283"/>
      <c r="W61" s="283"/>
      <c r="X61" s="284"/>
      <c r="Y61" s="285" t="str">
        <f t="shared" si="3"/>
        <v>-</v>
      </c>
      <c r="Z61" s="295"/>
    </row>
    <row r="62" spans="1:26" ht="25.5" customHeight="1">
      <c r="A62" s="175"/>
      <c r="B62" s="162"/>
      <c r="C62" s="171"/>
      <c r="D62" s="132" t="s">
        <v>433</v>
      </c>
      <c r="E62" s="38">
        <v>50</v>
      </c>
      <c r="F62" s="29" t="s">
        <v>28</v>
      </c>
      <c r="G62" s="79" t="s">
        <v>447</v>
      </c>
      <c r="H62" s="30" t="str">
        <f>M62</f>
        <v>მე-3 მუხ. 1-ლი პუნქ. "ს" ქვეპუნ.</v>
      </c>
      <c r="I62" s="273"/>
      <c r="J62" s="274">
        <v>1</v>
      </c>
      <c r="K62" s="275"/>
      <c r="L62" s="276">
        <v>2021</v>
      </c>
      <c r="M62" s="277" t="s">
        <v>29</v>
      </c>
      <c r="N62" s="278" t="str">
        <f>VLOOKUP(P62,budget!$A$2:$C$99,3,0)</f>
        <v xml:space="preserve">საკრებულო - აპარატი </v>
      </c>
      <c r="O62" s="306"/>
      <c r="P62" s="289" t="s">
        <v>325</v>
      </c>
      <c r="Q62" s="278" t="str">
        <f>VLOOKUP(P62,budget!$A$2:$B$99,2,0)</f>
        <v>ქალაქ ბათუმის მუნიციპალიტეტის საკრებულო</v>
      </c>
      <c r="R62" s="281"/>
      <c r="S62" s="296"/>
      <c r="T62" s="283"/>
      <c r="U62" s="283"/>
      <c r="V62" s="283"/>
      <c r="W62" s="283"/>
      <c r="X62" s="284"/>
      <c r="Y62" s="285"/>
      <c r="Z62" s="295"/>
    </row>
    <row r="63" spans="1:26" ht="25.5" customHeight="1">
      <c r="A63" s="159">
        <v>18</v>
      </c>
      <c r="B63" s="160">
        <v>31500000</v>
      </c>
      <c r="C63" s="177" t="s">
        <v>11</v>
      </c>
      <c r="D63" s="132" t="s">
        <v>145</v>
      </c>
      <c r="E63" s="38">
        <f>7700-1775</f>
        <v>5925</v>
      </c>
      <c r="F63" s="29" t="s">
        <v>22</v>
      </c>
      <c r="G63" s="79" t="s">
        <v>446</v>
      </c>
      <c r="H63" s="30"/>
      <c r="I63" s="273" t="s">
        <v>650</v>
      </c>
      <c r="J63" s="274">
        <v>11</v>
      </c>
      <c r="K63" s="301"/>
      <c r="L63" s="276">
        <v>2021</v>
      </c>
      <c r="M63" s="292"/>
      <c r="N63" s="278" t="str">
        <f>VLOOKUP(P63,budget!$A$2:$C$99,3,0)</f>
        <v>აპარატი - მატერ-ტექნიკ.</v>
      </c>
      <c r="O63" s="279"/>
      <c r="P63" s="289" t="s">
        <v>227</v>
      </c>
      <c r="Q63" s="278" t="str">
        <f>VLOOKUP(P63,budget!$A$2:$B$99,2,0)</f>
        <v>ქალაქ ბათუმის მუნიციპალიტეტის მერია</v>
      </c>
      <c r="R63" s="281"/>
      <c r="S63" s="291" t="s">
        <v>586</v>
      </c>
      <c r="T63" s="283">
        <f t="shared" si="2"/>
        <v>5925</v>
      </c>
      <c r="U63" s="283"/>
      <c r="V63" s="283">
        <v>5925</v>
      </c>
      <c r="W63" s="283"/>
      <c r="X63" s="284" t="s">
        <v>585</v>
      </c>
      <c r="Y63" s="285">
        <f t="shared" si="3"/>
        <v>0</v>
      </c>
      <c r="Z63" s="295"/>
    </row>
    <row r="64" spans="1:26" ht="29.25" customHeight="1">
      <c r="A64" s="159"/>
      <c r="B64" s="160"/>
      <c r="C64" s="177"/>
      <c r="D64" s="132" t="s">
        <v>145</v>
      </c>
      <c r="E64" s="38">
        <v>1000</v>
      </c>
      <c r="F64" s="29" t="s">
        <v>22</v>
      </c>
      <c r="G64" s="31" t="s">
        <v>446</v>
      </c>
      <c r="H64" s="30"/>
      <c r="I64" s="273"/>
      <c r="J64" s="274">
        <v>1</v>
      </c>
      <c r="K64" s="275"/>
      <c r="L64" s="276">
        <v>2021</v>
      </c>
      <c r="M64" s="292"/>
      <c r="N64" s="278" t="str">
        <f>VLOOKUP(P64,budget!$A$2:$C$99,3,0)</f>
        <v xml:space="preserve">საკრებულო - აპარატი </v>
      </c>
      <c r="O64" s="279"/>
      <c r="P64" s="289" t="s">
        <v>325</v>
      </c>
      <c r="Q64" s="278" t="str">
        <f>VLOOKUP(P64,budget!$A$2:$B$99,2,0)</f>
        <v>ქალაქ ბათუმის მუნიციპალიტეტის საკრებულო</v>
      </c>
      <c r="R64" s="281"/>
      <c r="S64" s="296" t="s">
        <v>623</v>
      </c>
      <c r="T64" s="283">
        <f t="shared" si="2"/>
        <v>982</v>
      </c>
      <c r="U64" s="283"/>
      <c r="V64" s="283">
        <v>982</v>
      </c>
      <c r="W64" s="283"/>
      <c r="X64" s="284" t="s">
        <v>609</v>
      </c>
      <c r="Y64" s="285">
        <f t="shared" si="3"/>
        <v>18</v>
      </c>
      <c r="Z64" s="295"/>
    </row>
    <row r="65" spans="1:28" ht="44.25" customHeight="1">
      <c r="A65" s="147">
        <v>19</v>
      </c>
      <c r="B65" s="144">
        <v>32300000</v>
      </c>
      <c r="C65" s="146" t="s">
        <v>658</v>
      </c>
      <c r="D65" s="150" t="s">
        <v>658</v>
      </c>
      <c r="E65" s="38">
        <v>192080</v>
      </c>
      <c r="F65" s="29" t="s">
        <v>22</v>
      </c>
      <c r="G65" s="143" t="s">
        <v>445</v>
      </c>
      <c r="H65" s="30"/>
      <c r="I65" s="304" t="s">
        <v>461</v>
      </c>
      <c r="J65" s="274">
        <v>11</v>
      </c>
      <c r="K65" s="275"/>
      <c r="L65" s="276">
        <v>2021</v>
      </c>
      <c r="M65" s="292"/>
      <c r="N65" s="278" t="str">
        <f>VLOOKUP(P65,budget!$A$2:$C$99,3,0)</f>
        <v xml:space="preserve">საკრებულო - აპარატი </v>
      </c>
      <c r="O65" s="279"/>
      <c r="P65" s="289" t="s">
        <v>325</v>
      </c>
      <c r="Q65" s="278" t="str">
        <f>VLOOKUP(P65,budget!$A$2:$B$99,2,0)</f>
        <v>ქალაქ ბათუმის მუნიციპალიტეტის საკრებულო</v>
      </c>
      <c r="R65" s="281"/>
      <c r="S65" s="296"/>
      <c r="T65" s="283"/>
      <c r="U65" s="283"/>
      <c r="V65" s="283"/>
      <c r="W65" s="283"/>
      <c r="X65" s="284"/>
      <c r="Y65" s="285"/>
      <c r="Z65" s="295"/>
    </row>
    <row r="66" spans="1:28" ht="33.75" customHeight="1">
      <c r="A66" s="161">
        <v>20</v>
      </c>
      <c r="B66" s="161">
        <v>32500000</v>
      </c>
      <c r="C66" s="169" t="s">
        <v>311</v>
      </c>
      <c r="D66" s="132" t="s">
        <v>164</v>
      </c>
      <c r="E66" s="38">
        <v>3862</v>
      </c>
      <c r="F66" s="29" t="s">
        <v>28</v>
      </c>
      <c r="G66" s="79" t="s">
        <v>443</v>
      </c>
      <c r="H66" s="30" t="str">
        <f>M66</f>
        <v>მე-3 მუხ. 1-ლი პუნქ. "ს" ქვეპუნ.</v>
      </c>
      <c r="I66" s="286"/>
      <c r="J66" s="274">
        <v>1</v>
      </c>
      <c r="K66" s="287"/>
      <c r="L66" s="276">
        <v>2021</v>
      </c>
      <c r="M66" s="288" t="s">
        <v>29</v>
      </c>
      <c r="N66" s="278" t="str">
        <f>VLOOKUP(P66,budget!$A$2:$C$99,3,0)</f>
        <v>აპარატი - მატერ-ტექნიკ.</v>
      </c>
      <c r="O66" s="279" t="s">
        <v>52</v>
      </c>
      <c r="P66" s="289" t="s">
        <v>227</v>
      </c>
      <c r="Q66" s="278" t="str">
        <f>VLOOKUP(P66,budget!$A$2:$B$99,2,0)</f>
        <v>ქალაქ ბათუმის მუნიციპალიტეტის მერია</v>
      </c>
      <c r="R66" s="290"/>
      <c r="S66" s="291" t="s">
        <v>484</v>
      </c>
      <c r="T66" s="283">
        <f t="shared" si="2"/>
        <v>3861.9</v>
      </c>
      <c r="U66" s="283"/>
      <c r="V66" s="283">
        <v>3861.9</v>
      </c>
      <c r="W66" s="283"/>
      <c r="X66" s="284" t="s">
        <v>485</v>
      </c>
      <c r="Y66" s="285">
        <f t="shared" si="3"/>
        <v>9.9999999999909051E-2</v>
      </c>
      <c r="Z66" s="295"/>
    </row>
    <row r="67" spans="1:28" ht="26.25" customHeight="1">
      <c r="A67" s="165"/>
      <c r="B67" s="165"/>
      <c r="C67" s="170"/>
      <c r="D67" s="132" t="s">
        <v>593</v>
      </c>
      <c r="E67" s="38">
        <v>200</v>
      </c>
      <c r="F67" s="29" t="s">
        <v>28</v>
      </c>
      <c r="G67" s="31" t="s">
        <v>446</v>
      </c>
      <c r="H67" s="30" t="str">
        <f>M67</f>
        <v>მე-3 მუხ. 1-ლი პუნქ. "ს" ქვეპუნ.</v>
      </c>
      <c r="I67" s="273"/>
      <c r="J67" s="274">
        <v>1</v>
      </c>
      <c r="K67" s="275"/>
      <c r="L67" s="276">
        <v>2021</v>
      </c>
      <c r="M67" s="277" t="s">
        <v>29</v>
      </c>
      <c r="N67" s="278" t="str">
        <f>VLOOKUP(P67,budget!$A$2:$C$99,3,0)</f>
        <v xml:space="preserve">საკრებულო - აპარატი </v>
      </c>
      <c r="O67" s="306"/>
      <c r="P67" s="289" t="s">
        <v>325</v>
      </c>
      <c r="Q67" s="278" t="str">
        <f>VLOOKUP(P67,budget!$A$2:$B$99,2,0)</f>
        <v>ქალაქ ბათუმის მუნიციპალიტეტის საკრებულო</v>
      </c>
      <c r="R67" s="281"/>
      <c r="S67" s="296"/>
      <c r="T67" s="283">
        <f>SUBTOTAL(9,U67:W67)</f>
        <v>0</v>
      </c>
      <c r="U67" s="283"/>
      <c r="V67" s="283"/>
      <c r="W67" s="283"/>
      <c r="X67" s="284"/>
      <c r="Y67" s="285" t="str">
        <f t="shared" si="3"/>
        <v>-</v>
      </c>
      <c r="Z67" s="295"/>
    </row>
    <row r="68" spans="1:28" ht="26.25" customHeight="1">
      <c r="A68" s="165">
        <v>21</v>
      </c>
      <c r="B68" s="165">
        <v>33100000</v>
      </c>
      <c r="C68" s="170" t="s">
        <v>409</v>
      </c>
      <c r="D68" s="132" t="s">
        <v>429</v>
      </c>
      <c r="E68" s="38">
        <v>400</v>
      </c>
      <c r="F68" s="29" t="s">
        <v>435</v>
      </c>
      <c r="G68" s="90" t="s">
        <v>448</v>
      </c>
      <c r="H68" s="30"/>
      <c r="I68" s="304"/>
      <c r="J68" s="274">
        <v>1</v>
      </c>
      <c r="K68" s="275"/>
      <c r="L68" s="276">
        <v>2021</v>
      </c>
      <c r="M68" s="277"/>
      <c r="N68" s="278" t="str">
        <f>VLOOKUP(P68,budget!$A$2:$C$99,3,0)</f>
        <v xml:space="preserve">საკრებულო - აპარატი </v>
      </c>
      <c r="O68" s="306"/>
      <c r="P68" s="289" t="s">
        <v>325</v>
      </c>
      <c r="Q68" s="278" t="str">
        <f>VLOOKUP(P68,budget!$A$2:$B$99,2,0)</f>
        <v>ქალაქ ბათუმის მუნიციპალიტეტის საკრებულო</v>
      </c>
      <c r="R68" s="281"/>
      <c r="S68" s="296"/>
      <c r="T68" s="294"/>
      <c r="U68" s="294"/>
      <c r="V68" s="294"/>
      <c r="W68" s="294"/>
      <c r="X68" s="297"/>
      <c r="Y68" s="285" t="str">
        <f t="shared" si="3"/>
        <v>-</v>
      </c>
      <c r="Z68" s="295"/>
    </row>
    <row r="69" spans="1:28" ht="26.25" customHeight="1">
      <c r="A69" s="165"/>
      <c r="B69" s="165"/>
      <c r="C69" s="170"/>
      <c r="D69" s="132" t="s">
        <v>471</v>
      </c>
      <c r="E69" s="38">
        <v>310</v>
      </c>
      <c r="F69" s="29" t="s">
        <v>435</v>
      </c>
      <c r="G69" s="129" t="s">
        <v>446</v>
      </c>
      <c r="H69" s="30"/>
      <c r="I69" s="304" t="s">
        <v>461</v>
      </c>
      <c r="J69" s="274">
        <v>10</v>
      </c>
      <c r="K69" s="275"/>
      <c r="L69" s="276">
        <v>2021</v>
      </c>
      <c r="M69" s="277"/>
      <c r="N69" s="278" t="str">
        <f>VLOOKUP(P69,budget!$A$2:$C$99,3,0)</f>
        <v>აპარატი - მატერ-ტექნიკ.</v>
      </c>
      <c r="O69" s="306"/>
      <c r="P69" s="289" t="s">
        <v>227</v>
      </c>
      <c r="Q69" s="278" t="str">
        <f>VLOOKUP(P69,budget!$A$2:$B$99,2,0)</f>
        <v>ქალაქ ბათუმის მუნიციპალიტეტის მერია</v>
      </c>
      <c r="R69" s="281"/>
      <c r="S69" s="293" t="s">
        <v>695</v>
      </c>
      <c r="T69" s="283"/>
      <c r="U69" s="294"/>
      <c r="V69" s="294">
        <v>309</v>
      </c>
      <c r="W69" s="294"/>
      <c r="X69" s="297" t="s">
        <v>523</v>
      </c>
      <c r="Y69" s="285">
        <f t="shared" si="3"/>
        <v>1</v>
      </c>
      <c r="Z69" s="295"/>
    </row>
    <row r="70" spans="1:28" ht="26.25" customHeight="1">
      <c r="A70" s="165"/>
      <c r="B70" s="165"/>
      <c r="C70" s="170"/>
      <c r="D70" s="137" t="s">
        <v>471</v>
      </c>
      <c r="E70" s="38">
        <v>310</v>
      </c>
      <c r="F70" s="29" t="s">
        <v>435</v>
      </c>
      <c r="G70" s="136" t="s">
        <v>446</v>
      </c>
      <c r="H70" s="30"/>
      <c r="I70" s="304" t="s">
        <v>461</v>
      </c>
      <c r="J70" s="274">
        <v>4</v>
      </c>
      <c r="K70" s="275"/>
      <c r="L70" s="276">
        <v>2021</v>
      </c>
      <c r="M70" s="277"/>
      <c r="N70" s="278" t="str">
        <f>VLOOKUP(P70,budget!$A$2:$C$99,3,0)</f>
        <v>აპარატი - მატერ-ტექნიკ.</v>
      </c>
      <c r="O70" s="306" t="s">
        <v>52</v>
      </c>
      <c r="P70" s="289" t="s">
        <v>227</v>
      </c>
      <c r="Q70" s="278" t="str">
        <f>VLOOKUP(P70,budget!$A$2:$B$99,2,0)</f>
        <v>ქალაქ ბათუმის მუნიციპალიტეტის მერია</v>
      </c>
      <c r="R70" s="281"/>
      <c r="S70" s="293" t="s">
        <v>522</v>
      </c>
      <c r="T70" s="283">
        <f t="shared" ref="T70:T71" si="14">SUBTOTAL(9,U70:W70)</f>
        <v>309</v>
      </c>
      <c r="U70" s="294"/>
      <c r="V70" s="294">
        <v>309</v>
      </c>
      <c r="W70" s="294"/>
      <c r="X70" s="297" t="s">
        <v>523</v>
      </c>
      <c r="Y70" s="285">
        <f t="shared" ref="Y70:Y71" si="15">IF(V70=0,"-",E70-V70)</f>
        <v>1</v>
      </c>
      <c r="Z70" s="295"/>
    </row>
    <row r="71" spans="1:28" ht="26.25" customHeight="1">
      <c r="A71" s="165"/>
      <c r="B71" s="165"/>
      <c r="C71" s="170"/>
      <c r="D71" s="152" t="s">
        <v>471</v>
      </c>
      <c r="E71" s="38">
        <v>310</v>
      </c>
      <c r="F71" s="29" t="s">
        <v>435</v>
      </c>
      <c r="G71" s="153" t="s">
        <v>446</v>
      </c>
      <c r="H71" s="30"/>
      <c r="I71" s="304" t="s">
        <v>461</v>
      </c>
      <c r="J71" s="274">
        <v>7</v>
      </c>
      <c r="K71" s="275"/>
      <c r="L71" s="276">
        <v>2021</v>
      </c>
      <c r="M71" s="277"/>
      <c r="N71" s="278" t="str">
        <f>VLOOKUP(P71,budget!$A$2:$C$99,3,0)</f>
        <v>აპარატი - მატერ-ტექნიკ.</v>
      </c>
      <c r="O71" s="306" t="s">
        <v>52</v>
      </c>
      <c r="P71" s="289" t="s">
        <v>227</v>
      </c>
      <c r="Q71" s="278" t="str">
        <f>VLOOKUP(P71,budget!$A$2:$B$99,2,0)</f>
        <v>ქალაქ ბათუმის მუნიციპალიტეტის მერია</v>
      </c>
      <c r="R71" s="281"/>
      <c r="S71" s="293" t="s">
        <v>626</v>
      </c>
      <c r="T71" s="283">
        <f t="shared" si="14"/>
        <v>309</v>
      </c>
      <c r="U71" s="294"/>
      <c r="V71" s="294">
        <v>309</v>
      </c>
      <c r="W71" s="294"/>
      <c r="X71" s="297" t="s">
        <v>523</v>
      </c>
      <c r="Y71" s="285">
        <f t="shared" si="15"/>
        <v>1</v>
      </c>
      <c r="Z71" s="295"/>
    </row>
    <row r="72" spans="1:28" ht="26.25" customHeight="1">
      <c r="A72" s="165"/>
      <c r="B72" s="165"/>
      <c r="C72" s="170"/>
      <c r="D72" s="132" t="s">
        <v>471</v>
      </c>
      <c r="E72" s="38">
        <v>618</v>
      </c>
      <c r="F72" s="29" t="s">
        <v>435</v>
      </c>
      <c r="G72" s="153" t="s">
        <v>448</v>
      </c>
      <c r="H72" s="30"/>
      <c r="I72" s="304" t="s">
        <v>461</v>
      </c>
      <c r="J72" s="274">
        <v>13</v>
      </c>
      <c r="K72" s="275"/>
      <c r="L72" s="276">
        <v>2021</v>
      </c>
      <c r="M72" s="277"/>
      <c r="N72" s="278" t="str">
        <f>VLOOKUP(P72,budget!$A$2:$C$99,3,0)</f>
        <v>აპარატი - მატერ-ტექნიკ.</v>
      </c>
      <c r="O72" s="306" t="s">
        <v>52</v>
      </c>
      <c r="P72" s="289" t="s">
        <v>227</v>
      </c>
      <c r="Q72" s="278" t="str">
        <f>VLOOKUP(P72,budget!$A$2:$B$99,2,0)</f>
        <v>ქალაქ ბათუმის მუნიციპალიტეტის მერია</v>
      </c>
      <c r="R72" s="281"/>
      <c r="S72" s="293"/>
      <c r="T72" s="283"/>
      <c r="U72" s="294"/>
      <c r="V72" s="294"/>
      <c r="W72" s="294"/>
      <c r="X72" s="297"/>
      <c r="Y72" s="285" t="str">
        <f t="shared" si="3"/>
        <v>-</v>
      </c>
      <c r="Z72" s="295"/>
    </row>
    <row r="73" spans="1:28" ht="26.25" customHeight="1">
      <c r="A73" s="165"/>
      <c r="B73" s="165"/>
      <c r="C73" s="170"/>
      <c r="D73" s="132" t="s">
        <v>479</v>
      </c>
      <c r="E73" s="38">
        <v>200</v>
      </c>
      <c r="F73" s="29" t="s">
        <v>435</v>
      </c>
      <c r="G73" s="79" t="s">
        <v>446</v>
      </c>
      <c r="H73" s="30"/>
      <c r="I73" s="304" t="s">
        <v>461</v>
      </c>
      <c r="J73" s="274">
        <v>5</v>
      </c>
      <c r="K73" s="275"/>
      <c r="L73" s="276">
        <v>2021</v>
      </c>
      <c r="M73" s="277"/>
      <c r="N73" s="278" t="str">
        <f>VLOOKUP(P73,budget!$A$2:$C$99,3,0)</f>
        <v>აპარატი - მატერ-ტექნიკ.</v>
      </c>
      <c r="O73" s="306" t="s">
        <v>52</v>
      </c>
      <c r="P73" s="289" t="s">
        <v>227</v>
      </c>
      <c r="Q73" s="278" t="str">
        <f>VLOOKUP(P73,budget!$A$2:$B$99,2,0)</f>
        <v>ქალაქ ბათუმის მუნიციპალიტეტის მერია</v>
      </c>
      <c r="R73" s="281"/>
      <c r="S73" s="293" t="s">
        <v>578</v>
      </c>
      <c r="T73" s="283">
        <f t="shared" si="2"/>
        <v>199.9</v>
      </c>
      <c r="U73" s="294"/>
      <c r="V73" s="294">
        <v>199.9</v>
      </c>
      <c r="W73" s="294"/>
      <c r="X73" s="297" t="s">
        <v>577</v>
      </c>
      <c r="Y73" s="285">
        <f t="shared" si="3"/>
        <v>9.9999999999994316E-2</v>
      </c>
      <c r="Z73" s="295"/>
    </row>
    <row r="74" spans="1:28" s="67" customFormat="1" ht="27" customHeight="1">
      <c r="A74" s="185">
        <v>22</v>
      </c>
      <c r="B74" s="190">
        <v>33600000</v>
      </c>
      <c r="C74" s="210" t="s">
        <v>455</v>
      </c>
      <c r="D74" s="132" t="s">
        <v>30</v>
      </c>
      <c r="E74" s="38">
        <v>67620</v>
      </c>
      <c r="F74" s="41" t="s">
        <v>323</v>
      </c>
      <c r="G74" s="31" t="s">
        <v>443</v>
      </c>
      <c r="H74" s="30"/>
      <c r="I74" s="311"/>
      <c r="J74" s="274">
        <v>1</v>
      </c>
      <c r="K74" s="312"/>
      <c r="L74" s="276">
        <v>2021</v>
      </c>
      <c r="M74" s="288"/>
      <c r="N74" s="313" t="str">
        <f>VLOOKUP(P74,budget!$A$2:$C$99,3,0)</f>
        <v>ჯანდაცვა</v>
      </c>
      <c r="O74" s="314"/>
      <c r="P74" s="315" t="s">
        <v>124</v>
      </c>
      <c r="Q74" s="313" t="str">
        <f>VLOOKUP(P74,budget!$A$2:$B$99,2,0)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74" s="316"/>
      <c r="S74" s="282" t="s">
        <v>663</v>
      </c>
      <c r="T74" s="283"/>
      <c r="U74" s="317"/>
      <c r="V74" s="317">
        <f>27879.3+39463.08</f>
        <v>67342.38</v>
      </c>
      <c r="W74" s="318"/>
      <c r="X74" s="284" t="s">
        <v>544</v>
      </c>
      <c r="Y74" s="285">
        <f t="shared" si="3"/>
        <v>277.61999999999534</v>
      </c>
      <c r="Z74" s="295"/>
      <c r="AA74" s="318"/>
      <c r="AB74" s="318"/>
    </row>
    <row r="75" spans="1:28" ht="25.5" customHeight="1">
      <c r="A75" s="185"/>
      <c r="B75" s="190"/>
      <c r="C75" s="210"/>
      <c r="D75" s="132" t="s">
        <v>253</v>
      </c>
      <c r="E75" s="38">
        <v>11400</v>
      </c>
      <c r="F75" s="41" t="s">
        <v>323</v>
      </c>
      <c r="G75" s="31" t="s">
        <v>443</v>
      </c>
      <c r="H75" s="30"/>
      <c r="I75" s="286"/>
      <c r="J75" s="274">
        <v>1</v>
      </c>
      <c r="K75" s="287"/>
      <c r="L75" s="276">
        <v>2021</v>
      </c>
      <c r="M75" s="288"/>
      <c r="N75" s="278" t="str">
        <f>VLOOKUP(P75,budget!$A$2:$C$99,3,0)</f>
        <v>ჯანდაცვა</v>
      </c>
      <c r="O75" s="279"/>
      <c r="P75" s="289" t="s">
        <v>124</v>
      </c>
      <c r="Q75" s="278" t="str">
        <f>VLOOKUP(P75,budget!$A$2:$B$99,2,0)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75" s="281"/>
      <c r="S75" s="282"/>
      <c r="T75" s="283">
        <f>SUBTOTAL(9,U75:V75)</f>
        <v>0</v>
      </c>
      <c r="U75" s="283"/>
      <c r="V75" s="283"/>
      <c r="X75" s="284"/>
      <c r="Y75" s="285" t="str">
        <f t="shared" si="3"/>
        <v>-</v>
      </c>
      <c r="Z75" s="295"/>
    </row>
    <row r="76" spans="1:28" ht="25.5" customHeight="1">
      <c r="A76" s="185"/>
      <c r="B76" s="190"/>
      <c r="C76" s="210"/>
      <c r="D76" s="132" t="s">
        <v>85</v>
      </c>
      <c r="E76" s="38">
        <v>11200</v>
      </c>
      <c r="F76" s="41" t="s">
        <v>323</v>
      </c>
      <c r="G76" s="31" t="s">
        <v>443</v>
      </c>
      <c r="H76" s="30"/>
      <c r="I76" s="286"/>
      <c r="J76" s="274">
        <v>1</v>
      </c>
      <c r="K76" s="287"/>
      <c r="L76" s="276">
        <v>2021</v>
      </c>
      <c r="M76" s="288"/>
      <c r="N76" s="278" t="str">
        <f>VLOOKUP(P76,budget!$A$2:$C$99,3,0)</f>
        <v>ჯანდაცვა</v>
      </c>
      <c r="O76" s="279"/>
      <c r="P76" s="289" t="s">
        <v>124</v>
      </c>
      <c r="Q76" s="278" t="str">
        <f>VLOOKUP(P76,budget!$A$2:$B$99,2,0)</f>
        <v>მოწყვლადი  სოციალური ჯგუფების მქონე პირთა მედიკამენტებითა და საკვები დანამატების კომპენსაციით უზრუნველყოფა</v>
      </c>
      <c r="R76" s="281"/>
      <c r="S76" s="282" t="s">
        <v>543</v>
      </c>
      <c r="T76" s="283">
        <f>SUBTOTAL(9,U76:V76)</f>
        <v>11197.44</v>
      </c>
      <c r="U76" s="283"/>
      <c r="V76" s="283">
        <v>11197.44</v>
      </c>
      <c r="X76" s="284" t="s">
        <v>542</v>
      </c>
      <c r="Y76" s="285">
        <f t="shared" si="3"/>
        <v>2.5599999999994907</v>
      </c>
      <c r="Z76" s="295"/>
    </row>
    <row r="77" spans="1:28" ht="25.5" customHeight="1">
      <c r="A77" s="185"/>
      <c r="B77" s="190"/>
      <c r="C77" s="210"/>
      <c r="D77" s="132" t="s">
        <v>408</v>
      </c>
      <c r="E77" s="38">
        <v>5000</v>
      </c>
      <c r="F77" s="41" t="s">
        <v>323</v>
      </c>
      <c r="G77" s="79" t="s">
        <v>446</v>
      </c>
      <c r="H77" s="30"/>
      <c r="I77" s="286"/>
      <c r="J77" s="274">
        <v>1</v>
      </c>
      <c r="K77" s="287"/>
      <c r="L77" s="276">
        <v>2021</v>
      </c>
      <c r="M77" s="288"/>
      <c r="N77" s="278" t="str">
        <f>VLOOKUP(P77,budget!$A$2:$C$99,3,0)</f>
        <v>აპარატი - მატერ-ტექნიკ.</v>
      </c>
      <c r="O77" s="279"/>
      <c r="P77" s="289" t="s">
        <v>227</v>
      </c>
      <c r="Q77" s="278" t="str">
        <f>VLOOKUP(P77,budget!$A$2:$B$99,2,0)</f>
        <v>ქალაქ ბათუმის მუნიციპალიტეტის მერია</v>
      </c>
      <c r="R77" s="281"/>
      <c r="S77" s="291" t="s">
        <v>705</v>
      </c>
      <c r="T77" s="283">
        <f>SUBTOTAL(9,U77:W77)</f>
        <v>888</v>
      </c>
      <c r="U77" s="283"/>
      <c r="V77" s="283">
        <f>444+444</f>
        <v>888</v>
      </c>
      <c r="W77" s="283"/>
      <c r="X77" s="284" t="s">
        <v>627</v>
      </c>
      <c r="Y77" s="285">
        <f t="shared" si="3"/>
        <v>4112</v>
      </c>
      <c r="Z77" s="295"/>
    </row>
    <row r="78" spans="1:28" ht="25.5" customHeight="1">
      <c r="A78" s="182"/>
      <c r="B78" s="184"/>
      <c r="C78" s="211"/>
      <c r="D78" s="132" t="s">
        <v>436</v>
      </c>
      <c r="E78" s="38">
        <v>1500</v>
      </c>
      <c r="F78" s="41" t="s">
        <v>323</v>
      </c>
      <c r="G78" s="79" t="s">
        <v>446</v>
      </c>
      <c r="H78" s="30"/>
      <c r="I78" s="286"/>
      <c r="J78" s="274">
        <v>1</v>
      </c>
      <c r="K78" s="287"/>
      <c r="L78" s="276">
        <v>2021</v>
      </c>
      <c r="M78" s="288"/>
      <c r="N78" s="278" t="str">
        <f>VLOOKUP(P78,budget!$A$2:$C$99,3,0)</f>
        <v>აპარატი - მატერ-ტექნიკ.</v>
      </c>
      <c r="O78" s="279"/>
      <c r="P78" s="289" t="s">
        <v>227</v>
      </c>
      <c r="Q78" s="278" t="str">
        <f>VLOOKUP(P78,budget!$A$2:$B$99,2,0)</f>
        <v>ქალაქ ბათუმის მუნიციპალიტეტის მერია</v>
      </c>
      <c r="R78" s="281"/>
      <c r="S78" s="291"/>
      <c r="T78" s="283"/>
      <c r="U78" s="283"/>
      <c r="V78" s="283"/>
      <c r="W78" s="283"/>
      <c r="X78" s="284"/>
      <c r="Y78" s="285" t="str">
        <f t="shared" si="3"/>
        <v>-</v>
      </c>
      <c r="Z78" s="295"/>
    </row>
    <row r="79" spans="1:28" ht="33.75" customHeight="1">
      <c r="A79" s="77">
        <v>23</v>
      </c>
      <c r="B79" s="86">
        <v>33700000</v>
      </c>
      <c r="C79" s="88" t="s">
        <v>26</v>
      </c>
      <c r="D79" s="132" t="s">
        <v>26</v>
      </c>
      <c r="E79" s="38">
        <v>800</v>
      </c>
      <c r="F79" s="29" t="s">
        <v>28</v>
      </c>
      <c r="G79" s="31" t="s">
        <v>446</v>
      </c>
      <c r="H79" s="30" t="str">
        <f>M79</f>
        <v>მე-3 მუხ. 1-ლი პუნქ. "ს" ქვეპუნ.</v>
      </c>
      <c r="I79" s="273"/>
      <c r="J79" s="274">
        <v>1</v>
      </c>
      <c r="K79" s="275"/>
      <c r="L79" s="276">
        <v>2021</v>
      </c>
      <c r="M79" s="277" t="s">
        <v>29</v>
      </c>
      <c r="N79" s="278" t="str">
        <f>VLOOKUP(P79,budget!$A$2:$C$99,3,0)</f>
        <v>აპარატი</v>
      </c>
      <c r="O79" s="306"/>
      <c r="P79" s="289" t="s">
        <v>88</v>
      </c>
      <c r="Q79" s="278" t="str">
        <f>VLOOKUP(P79,budget!$A$2:$B$99,2,0)</f>
        <v>ქალაქ ბათუმის მუნიციპალიტეტის მერია</v>
      </c>
      <c r="R79" s="281"/>
      <c r="S79" s="296" t="s">
        <v>622</v>
      </c>
      <c r="T79" s="283">
        <f t="shared" ref="T79:T137" si="16">SUBTOTAL(9,U79:W79)</f>
        <v>499.5</v>
      </c>
      <c r="U79" s="283"/>
      <c r="V79" s="283">
        <v>499.5</v>
      </c>
      <c r="W79" s="283"/>
      <c r="X79" s="284" t="s">
        <v>611</v>
      </c>
      <c r="Y79" s="285">
        <f t="shared" ref="Y79:Y153" si="17">IF(V79=0,"-",E79-V79)</f>
        <v>300.5</v>
      </c>
      <c r="Z79" s="295"/>
    </row>
    <row r="80" spans="1:28" ht="25.5" customHeight="1">
      <c r="A80" s="181">
        <v>24</v>
      </c>
      <c r="B80" s="183">
        <v>34300000</v>
      </c>
      <c r="C80" s="188" t="s">
        <v>173</v>
      </c>
      <c r="D80" s="132" t="s">
        <v>174</v>
      </c>
      <c r="E80" s="38">
        <v>5000</v>
      </c>
      <c r="F80" s="41" t="s">
        <v>100</v>
      </c>
      <c r="G80" s="79" t="s">
        <v>445</v>
      </c>
      <c r="H80" s="30"/>
      <c r="I80" s="286"/>
      <c r="J80" s="274">
        <v>1</v>
      </c>
      <c r="K80" s="305"/>
      <c r="L80" s="276">
        <v>2021</v>
      </c>
      <c r="M80" s="288"/>
      <c r="N80" s="278" t="str">
        <f>VLOOKUP(P80,budget!$A$2:$C$99,3,0)</f>
        <v>აპარატი - მატერ-ტექნიკ.</v>
      </c>
      <c r="O80" s="279"/>
      <c r="P80" s="289" t="s">
        <v>227</v>
      </c>
      <c r="Q80" s="278" t="str">
        <f>VLOOKUP(P80,budget!$A$2:$B$99,2,0)</f>
        <v>ქალაქ ბათუმის მუნიციპალიტეტის მერია</v>
      </c>
      <c r="R80" s="290"/>
      <c r="S80" s="291" t="s">
        <v>685</v>
      </c>
      <c r="T80" s="283">
        <f t="shared" si="16"/>
        <v>4996</v>
      </c>
      <c r="U80" s="283"/>
      <c r="V80" s="283">
        <f>1824+540+2632</f>
        <v>4996</v>
      </c>
      <c r="W80" s="283"/>
      <c r="X80" s="284" t="s">
        <v>613</v>
      </c>
      <c r="Y80" s="285">
        <f t="shared" si="17"/>
        <v>4</v>
      </c>
      <c r="Z80" s="295"/>
    </row>
    <row r="81" spans="1:26" ht="31.5" customHeight="1">
      <c r="A81" s="185"/>
      <c r="B81" s="190"/>
      <c r="C81" s="189"/>
      <c r="D81" s="132" t="s">
        <v>357</v>
      </c>
      <c r="E81" s="38">
        <v>6000</v>
      </c>
      <c r="F81" s="41" t="s">
        <v>100</v>
      </c>
      <c r="G81" s="31" t="s">
        <v>446</v>
      </c>
      <c r="H81" s="30"/>
      <c r="I81" s="286"/>
      <c r="J81" s="274">
        <v>1</v>
      </c>
      <c r="K81" s="305"/>
      <c r="L81" s="276">
        <v>2021</v>
      </c>
      <c r="M81" s="288"/>
      <c r="N81" s="278" t="str">
        <f>VLOOKUP(P81,budget!$A$2:$C$99,3,0)</f>
        <v xml:space="preserve">საკრებულო - აპარატი </v>
      </c>
      <c r="O81" s="279"/>
      <c r="P81" s="289" t="s">
        <v>325</v>
      </c>
      <c r="Q81" s="278" t="str">
        <f>VLOOKUP(P81,budget!$A$2:$B$99,2,0)</f>
        <v>ქალაქ ბათუმის მუნიციპალიტეტის საკრებულო</v>
      </c>
      <c r="R81" s="290"/>
      <c r="S81" s="282" t="s">
        <v>668</v>
      </c>
      <c r="T81" s="283"/>
      <c r="U81" s="283"/>
      <c r="V81" s="283">
        <f>456+1728</f>
        <v>2184</v>
      </c>
      <c r="W81" s="283"/>
      <c r="X81" s="284" t="s">
        <v>669</v>
      </c>
      <c r="Y81" s="285">
        <f t="shared" si="17"/>
        <v>3816</v>
      </c>
      <c r="Z81" s="295"/>
    </row>
    <row r="82" spans="1:26" ht="44.25" customHeight="1">
      <c r="A82" s="65">
        <v>25</v>
      </c>
      <c r="B82" s="95">
        <v>37800000</v>
      </c>
      <c r="C82" s="104" t="s">
        <v>402</v>
      </c>
      <c r="D82" s="132" t="s">
        <v>403</v>
      </c>
      <c r="E82" s="38">
        <v>400</v>
      </c>
      <c r="F82" s="41" t="s">
        <v>28</v>
      </c>
      <c r="G82" s="79" t="s">
        <v>446</v>
      </c>
      <c r="H82" s="30" t="str">
        <f>M82</f>
        <v>მე-3 მუხ. 1-ლი პუნქ. "ს" ქვეპუნ.</v>
      </c>
      <c r="I82" s="319"/>
      <c r="J82" s="274">
        <v>1</v>
      </c>
      <c r="K82" s="305"/>
      <c r="L82" s="276">
        <v>2021</v>
      </c>
      <c r="M82" s="277" t="s">
        <v>29</v>
      </c>
      <c r="N82" s="278" t="str">
        <f>VLOOKUP(P82,[8]budget!$A$2:$C$104,3,0)</f>
        <v>საკრებულო</v>
      </c>
      <c r="O82" s="279"/>
      <c r="P82" s="289" t="s">
        <v>325</v>
      </c>
      <c r="Q82" s="278" t="str">
        <f>VLOOKUP(P82,[8]budget!$A$2:$B$104,2,0)</f>
        <v>ქალაქ ბათუმის მუნიციპალიტეტის საკრებულო</v>
      </c>
      <c r="R82" s="290"/>
      <c r="S82" s="320"/>
      <c r="T82" s="283">
        <f t="shared" si="16"/>
        <v>0</v>
      </c>
      <c r="U82" s="283"/>
      <c r="V82" s="283"/>
      <c r="W82" s="283"/>
      <c r="X82" s="321"/>
      <c r="Y82" s="285" t="str">
        <f t="shared" si="17"/>
        <v>-</v>
      </c>
      <c r="Z82" s="295"/>
    </row>
    <row r="83" spans="1:26" ht="33.75" customHeight="1">
      <c r="A83" s="72">
        <v>26</v>
      </c>
      <c r="B83" s="94">
        <v>39200000</v>
      </c>
      <c r="C83" s="92" t="s">
        <v>322</v>
      </c>
      <c r="D83" s="132" t="s">
        <v>322</v>
      </c>
      <c r="E83" s="38">
        <v>500</v>
      </c>
      <c r="F83" s="29" t="s">
        <v>28</v>
      </c>
      <c r="G83" s="79" t="s">
        <v>446</v>
      </c>
      <c r="H83" s="30" t="s">
        <v>29</v>
      </c>
      <c r="I83" s="300"/>
      <c r="J83" s="274">
        <v>1</v>
      </c>
      <c r="K83" s="287"/>
      <c r="L83" s="276">
        <v>2021</v>
      </c>
      <c r="M83" s="288"/>
      <c r="N83" s="278" t="str">
        <f>VLOOKUP(P83,budget!$A$2:$C$99,3,0)</f>
        <v xml:space="preserve">საკრებულო - აპარატი </v>
      </c>
      <c r="O83" s="279"/>
      <c r="P83" s="289" t="s">
        <v>325</v>
      </c>
      <c r="Q83" s="278" t="str">
        <f>VLOOKUP(P83,budget!$A$2:$B$99,2,0)</f>
        <v>ქალაქ ბათუმის მუნიციპალიტეტის საკრებულო</v>
      </c>
      <c r="R83" s="290"/>
      <c r="S83" s="282" t="s">
        <v>567</v>
      </c>
      <c r="T83" s="283">
        <f t="shared" ref="T83:T90" si="18">SUBTOTAL(9,U83:V83)</f>
        <v>350.8</v>
      </c>
      <c r="U83" s="283"/>
      <c r="V83" s="283">
        <v>350.8</v>
      </c>
      <c r="X83" s="284" t="s">
        <v>566</v>
      </c>
      <c r="Y83" s="285">
        <f t="shared" si="17"/>
        <v>149.19999999999999</v>
      </c>
      <c r="Z83" s="295"/>
    </row>
    <row r="84" spans="1:26" ht="33.75" customHeight="1">
      <c r="A84" s="57">
        <v>27</v>
      </c>
      <c r="B84" s="94">
        <v>39300000</v>
      </c>
      <c r="C84" s="92" t="s">
        <v>431</v>
      </c>
      <c r="D84" s="132" t="s">
        <v>432</v>
      </c>
      <c r="E84" s="38">
        <v>800</v>
      </c>
      <c r="F84" s="41" t="s">
        <v>100</v>
      </c>
      <c r="G84" s="79" t="s">
        <v>446</v>
      </c>
      <c r="H84" s="30"/>
      <c r="I84" s="300"/>
      <c r="J84" s="274">
        <v>1</v>
      </c>
      <c r="K84" s="287"/>
      <c r="L84" s="276">
        <v>2021</v>
      </c>
      <c r="M84" s="288"/>
      <c r="N84" s="278" t="str">
        <f>VLOOKUP(P84,budget!$A$2:$C$99,3,0)</f>
        <v>აპარატი - მატერ-ტექნიკ.</v>
      </c>
      <c r="O84" s="279"/>
      <c r="P84" s="289" t="s">
        <v>227</v>
      </c>
      <c r="Q84" s="278" t="str">
        <f>VLOOKUP(P84,budget!$A$2:$B$99,2,0)</f>
        <v>ქალაქ ბათუმის მუნიციპალიტეტის მერია</v>
      </c>
      <c r="R84" s="290"/>
      <c r="S84" s="291"/>
      <c r="T84" s="283">
        <f t="shared" si="18"/>
        <v>0</v>
      </c>
      <c r="U84" s="283"/>
      <c r="V84" s="283"/>
      <c r="X84" s="284"/>
      <c r="Y84" s="285" t="str">
        <f t="shared" si="17"/>
        <v>-</v>
      </c>
      <c r="Z84" s="295"/>
    </row>
    <row r="85" spans="1:26" ht="29.25" customHeight="1">
      <c r="A85" s="57">
        <v>28</v>
      </c>
      <c r="B85" s="94">
        <v>39700000</v>
      </c>
      <c r="C85" s="92" t="s">
        <v>330</v>
      </c>
      <c r="D85" s="132" t="s">
        <v>330</v>
      </c>
      <c r="E85" s="38">
        <v>200</v>
      </c>
      <c r="F85" s="29" t="s">
        <v>22</v>
      </c>
      <c r="G85" s="79" t="s">
        <v>446</v>
      </c>
      <c r="H85" s="30"/>
      <c r="I85" s="273"/>
      <c r="J85" s="274">
        <v>1</v>
      </c>
      <c r="K85" s="275"/>
      <c r="L85" s="276">
        <v>2021</v>
      </c>
      <c r="M85" s="292"/>
      <c r="N85" s="278" t="str">
        <f>VLOOKUP(P85,budget!$A$2:$C$99,3,0)</f>
        <v xml:space="preserve">საკრებულო - აპარატი </v>
      </c>
      <c r="O85" s="279"/>
      <c r="P85" s="289" t="s">
        <v>325</v>
      </c>
      <c r="Q85" s="278" t="str">
        <f>VLOOKUP(P85,budget!$A$2:$B$99,2,0)</f>
        <v>ქალაქ ბათუმის მუნიციპალიტეტის საკრებულო</v>
      </c>
      <c r="R85" s="281"/>
      <c r="S85" s="296"/>
      <c r="T85" s="283">
        <f t="shared" si="18"/>
        <v>0</v>
      </c>
      <c r="U85" s="283"/>
      <c r="V85" s="283"/>
      <c r="X85" s="284"/>
      <c r="Y85" s="285" t="str">
        <f t="shared" si="17"/>
        <v>-</v>
      </c>
      <c r="Z85" s="295"/>
    </row>
    <row r="86" spans="1:26" ht="22.5" customHeight="1">
      <c r="A86" s="181">
        <v>29</v>
      </c>
      <c r="B86" s="161">
        <v>41100000</v>
      </c>
      <c r="C86" s="169" t="s">
        <v>144</v>
      </c>
      <c r="D86" s="132" t="s">
        <v>143</v>
      </c>
      <c r="E86" s="38">
        <f>3500-900</f>
        <v>2600</v>
      </c>
      <c r="F86" s="29" t="s">
        <v>22</v>
      </c>
      <c r="G86" s="79" t="s">
        <v>446</v>
      </c>
      <c r="H86" s="30"/>
      <c r="I86" s="286" t="s">
        <v>652</v>
      </c>
      <c r="J86" s="274">
        <v>11</v>
      </c>
      <c r="K86" s="287"/>
      <c r="L86" s="276">
        <v>2021</v>
      </c>
      <c r="M86" s="288"/>
      <c r="N86" s="278" t="str">
        <f>VLOOKUP(P86,budget!$A$2:$C$99,3,0)</f>
        <v>აპარატი - მატერ-ტექნიკ.</v>
      </c>
      <c r="O86" s="279"/>
      <c r="P86" s="289" t="s">
        <v>227</v>
      </c>
      <c r="Q86" s="278" t="str">
        <f>VLOOKUP(P86,budget!$A$2:$B$99,2,0)</f>
        <v>ქალაქ ბათუმის მუნიციპალიტეტის მერია</v>
      </c>
      <c r="R86" s="290"/>
      <c r="S86" s="291" t="s">
        <v>604</v>
      </c>
      <c r="T86" s="283">
        <f t="shared" si="18"/>
        <v>2600</v>
      </c>
      <c r="U86" s="283"/>
      <c r="V86" s="283">
        <v>2600</v>
      </c>
      <c r="X86" s="284" t="s">
        <v>603</v>
      </c>
      <c r="Y86" s="285">
        <f t="shared" si="17"/>
        <v>0</v>
      </c>
      <c r="Z86" s="295"/>
    </row>
    <row r="87" spans="1:26" ht="21.75" customHeight="1">
      <c r="A87" s="182"/>
      <c r="B87" s="162"/>
      <c r="C87" s="171"/>
      <c r="D87" s="132" t="s">
        <v>143</v>
      </c>
      <c r="E87" s="38">
        <v>700</v>
      </c>
      <c r="F87" s="41" t="s">
        <v>22</v>
      </c>
      <c r="G87" s="79" t="s">
        <v>446</v>
      </c>
      <c r="H87" s="30"/>
      <c r="I87" s="273"/>
      <c r="J87" s="274">
        <v>1</v>
      </c>
      <c r="K87" s="275"/>
      <c r="L87" s="276">
        <v>2021</v>
      </c>
      <c r="M87" s="292"/>
      <c r="N87" s="278" t="str">
        <f>VLOOKUP(P87,budget!$A$2:$C$99,3,0)</f>
        <v xml:space="preserve">საკრებულო - აპარატი </v>
      </c>
      <c r="O87" s="279"/>
      <c r="P87" s="289" t="s">
        <v>325</v>
      </c>
      <c r="Q87" s="278" t="str">
        <f>VLOOKUP(P87,budget!$A$2:$B$99,2,0)</f>
        <v>ქალაქ ბათუმის მუნიციპალიტეტის საკრებულო</v>
      </c>
      <c r="R87" s="281"/>
      <c r="S87" s="296" t="s">
        <v>605</v>
      </c>
      <c r="T87" s="283">
        <f t="shared" si="18"/>
        <v>651</v>
      </c>
      <c r="U87" s="283"/>
      <c r="V87" s="283">
        <v>651</v>
      </c>
      <c r="X87" s="284" t="s">
        <v>603</v>
      </c>
      <c r="Y87" s="285">
        <f t="shared" si="17"/>
        <v>49</v>
      </c>
      <c r="Z87" s="295"/>
    </row>
    <row r="88" spans="1:26" ht="33.75" customHeight="1">
      <c r="A88" s="139">
        <v>30</v>
      </c>
      <c r="B88" s="140">
        <v>42500000</v>
      </c>
      <c r="C88" s="141" t="s">
        <v>632</v>
      </c>
      <c r="D88" s="141" t="s">
        <v>633</v>
      </c>
      <c r="E88" s="38">
        <f>5700+1980</f>
        <v>7680</v>
      </c>
      <c r="F88" s="41" t="s">
        <v>22</v>
      </c>
      <c r="G88" s="138" t="s">
        <v>448</v>
      </c>
      <c r="H88" s="30"/>
      <c r="I88" s="273" t="s">
        <v>659</v>
      </c>
      <c r="J88" s="274">
        <v>11</v>
      </c>
      <c r="K88" s="275"/>
      <c r="L88" s="276">
        <v>2021</v>
      </c>
      <c r="M88" s="292"/>
      <c r="N88" s="278" t="str">
        <f>VLOOKUP(P88,budget!$A$2:$C$99,3,0)</f>
        <v>აპარატი - მატერ-ტექნიკ.</v>
      </c>
      <c r="O88" s="279"/>
      <c r="P88" s="289" t="s">
        <v>227</v>
      </c>
      <c r="Q88" s="278" t="str">
        <f>VLOOKUP(P88,budget!$A$2:$B$99,2,0)</f>
        <v>ქალაქ ბათუმის მუნიციპალიტეტის მერია</v>
      </c>
      <c r="R88" s="281"/>
      <c r="S88" s="296"/>
      <c r="T88" s="283"/>
      <c r="U88" s="283"/>
      <c r="V88" s="283"/>
      <c r="X88" s="284"/>
      <c r="Y88" s="285"/>
      <c r="Z88" s="295"/>
    </row>
    <row r="89" spans="1:26" ht="33.75" customHeight="1">
      <c r="A89" s="139">
        <v>31</v>
      </c>
      <c r="B89" s="140">
        <v>42600000</v>
      </c>
      <c r="C89" s="142" t="s">
        <v>634</v>
      </c>
      <c r="D89" s="141" t="s">
        <v>635</v>
      </c>
      <c r="E89" s="38">
        <v>150</v>
      </c>
      <c r="F89" s="41" t="s">
        <v>28</v>
      </c>
      <c r="G89" s="138" t="s">
        <v>448</v>
      </c>
      <c r="H89" s="30" t="str">
        <f>M89</f>
        <v>მე-3 მუხ. 1-ლი პუნქ. "ს" ქვეპუნ.</v>
      </c>
      <c r="I89" s="273" t="s">
        <v>461</v>
      </c>
      <c r="J89" s="274">
        <v>10</v>
      </c>
      <c r="K89" s="275"/>
      <c r="L89" s="276">
        <v>2021</v>
      </c>
      <c r="M89" s="277" t="s">
        <v>29</v>
      </c>
      <c r="N89" s="278" t="str">
        <f>VLOOKUP(P89,budget!$A$2:$C$99,3,0)</f>
        <v>აპარატი - მატერ-ტექნიკ.</v>
      </c>
      <c r="O89" s="279"/>
      <c r="P89" s="289" t="s">
        <v>227</v>
      </c>
      <c r="Q89" s="278" t="str">
        <f>VLOOKUP(P89,budget!$A$2:$B$99,2,0)</f>
        <v>ქალაქ ბათუმის მუნიციპალიტეტის მერია</v>
      </c>
      <c r="R89" s="281"/>
      <c r="S89" s="296" t="s">
        <v>698</v>
      </c>
      <c r="T89" s="283"/>
      <c r="U89" s="283"/>
      <c r="V89" s="283">
        <v>150</v>
      </c>
      <c r="X89" s="284" t="s">
        <v>697</v>
      </c>
      <c r="Y89" s="285"/>
      <c r="Z89" s="295"/>
    </row>
    <row r="90" spans="1:26" ht="29.25" customHeight="1">
      <c r="A90" s="78">
        <v>32</v>
      </c>
      <c r="B90" s="91">
        <v>42900000</v>
      </c>
      <c r="C90" s="97" t="s">
        <v>358</v>
      </c>
      <c r="D90" s="132" t="s">
        <v>434</v>
      </c>
      <c r="E90" s="38">
        <v>300</v>
      </c>
      <c r="F90" s="41" t="s">
        <v>100</v>
      </c>
      <c r="G90" s="79" t="s">
        <v>446</v>
      </c>
      <c r="H90" s="30"/>
      <c r="I90" s="273"/>
      <c r="J90" s="274">
        <v>1</v>
      </c>
      <c r="K90" s="275"/>
      <c r="L90" s="276">
        <v>2021</v>
      </c>
      <c r="M90" s="288"/>
      <c r="N90" s="278" t="str">
        <f>VLOOKUP(P90,budget!$A$2:$C$99,3,0)</f>
        <v>აპარატი - მატერ-ტექნიკ.</v>
      </c>
      <c r="O90" s="279"/>
      <c r="P90" s="289" t="s">
        <v>227</v>
      </c>
      <c r="Q90" s="278" t="str">
        <f>VLOOKUP(P90,budget!$A$2:$B$99,2,0)</f>
        <v>ქალაქ ბათუმის მუნიციპალიტეტის მერია</v>
      </c>
      <c r="R90" s="281"/>
      <c r="S90" s="291"/>
      <c r="T90" s="283">
        <f t="shared" si="18"/>
        <v>0</v>
      </c>
      <c r="U90" s="283"/>
      <c r="V90" s="283"/>
      <c r="X90" s="284"/>
      <c r="Y90" s="285" t="str">
        <f t="shared" si="17"/>
        <v>-</v>
      </c>
      <c r="Z90" s="295"/>
    </row>
    <row r="91" spans="1:26" ht="46.5" customHeight="1">
      <c r="A91" s="99">
        <v>33</v>
      </c>
      <c r="B91" s="84">
        <v>44400000</v>
      </c>
      <c r="C91" s="100" t="s">
        <v>472</v>
      </c>
      <c r="D91" s="60" t="s">
        <v>473</v>
      </c>
      <c r="E91" s="38">
        <v>2500</v>
      </c>
      <c r="F91" s="81" t="s">
        <v>22</v>
      </c>
      <c r="G91" s="84" t="s">
        <v>446</v>
      </c>
      <c r="H91" s="82"/>
      <c r="I91" s="279" t="s">
        <v>461</v>
      </c>
      <c r="J91" s="274">
        <v>4</v>
      </c>
      <c r="K91" s="287"/>
      <c r="L91" s="322">
        <v>2021</v>
      </c>
      <c r="M91" s="288"/>
      <c r="N91" s="278" t="str">
        <f>VLOOKUP(P91,[7]budget!$A$2:$C$104,3,0)</f>
        <v>აპარატი - მატერ-ტექნიკ.</v>
      </c>
      <c r="O91" s="279"/>
      <c r="P91" s="289" t="s">
        <v>227</v>
      </c>
      <c r="Q91" s="278" t="str">
        <f>VLOOKUP(P91,[7]budget!$A$2:$B$104,2,0)</f>
        <v>ქალაქ ბათუმის მუნიციპალიტეტის მერია</v>
      </c>
      <c r="R91" s="290"/>
      <c r="S91" s="291" t="s">
        <v>610</v>
      </c>
      <c r="T91" s="307"/>
      <c r="U91" s="323"/>
      <c r="V91" s="283">
        <v>2500</v>
      </c>
      <c r="X91" s="324" t="s">
        <v>609</v>
      </c>
      <c r="Y91" s="285">
        <f t="shared" si="17"/>
        <v>0</v>
      </c>
      <c r="Z91" s="295"/>
    </row>
    <row r="92" spans="1:26" ht="24.75" customHeight="1">
      <c r="A92" s="181">
        <v>34</v>
      </c>
      <c r="B92" s="183">
        <v>44500000</v>
      </c>
      <c r="C92" s="212" t="s">
        <v>44</v>
      </c>
      <c r="D92" s="132" t="s">
        <v>102</v>
      </c>
      <c r="E92" s="38">
        <v>2000</v>
      </c>
      <c r="F92" s="41" t="s">
        <v>28</v>
      </c>
      <c r="G92" s="79" t="s">
        <v>446</v>
      </c>
      <c r="H92" s="30" t="str">
        <f>M92</f>
        <v>მე-3 მუხ. 1-ლი პუნქ. "ს" ქვეპუნ.</v>
      </c>
      <c r="I92" s="300"/>
      <c r="J92" s="274">
        <v>1</v>
      </c>
      <c r="K92" s="287"/>
      <c r="L92" s="276">
        <v>2021</v>
      </c>
      <c r="M92" s="288" t="s">
        <v>29</v>
      </c>
      <c r="N92" s="278" t="str">
        <f>VLOOKUP(P92,budget!$A$2:$C$99,3,0)</f>
        <v>აპარატი - მატერ-ტექნიკ.</v>
      </c>
      <c r="O92" s="279"/>
      <c r="P92" s="289" t="s">
        <v>227</v>
      </c>
      <c r="Q92" s="278" t="str">
        <f>VLOOKUP(P92,budget!$A$2:$B$99,2,0)</f>
        <v>ქალაქ ბათუმის მუნიციპალიტეტის მერია</v>
      </c>
      <c r="R92" s="290"/>
      <c r="S92" s="291" t="s">
        <v>571</v>
      </c>
      <c r="T92" s="283">
        <f>SUBTOTAL(9,U92:V92)</f>
        <v>2000</v>
      </c>
      <c r="U92" s="283"/>
      <c r="V92" s="283">
        <v>2000</v>
      </c>
      <c r="X92" s="284" t="s">
        <v>570</v>
      </c>
      <c r="Y92" s="285">
        <f t="shared" si="17"/>
        <v>0</v>
      </c>
      <c r="Z92" s="295"/>
    </row>
    <row r="93" spans="1:26" ht="29.25" customHeight="1">
      <c r="A93" s="182"/>
      <c r="B93" s="184"/>
      <c r="C93" s="213"/>
      <c r="D93" s="132" t="s">
        <v>102</v>
      </c>
      <c r="E93" s="38">
        <v>300</v>
      </c>
      <c r="F93" s="29" t="s">
        <v>28</v>
      </c>
      <c r="G93" s="79" t="s">
        <v>446</v>
      </c>
      <c r="H93" s="30" t="str">
        <f>M93</f>
        <v>მე-3 მუხ. 1-ლი პუნქ. "ს" ქვეპუნ.</v>
      </c>
      <c r="I93" s="273"/>
      <c r="J93" s="274">
        <v>1</v>
      </c>
      <c r="K93" s="275"/>
      <c r="L93" s="276">
        <v>2021</v>
      </c>
      <c r="M93" s="277" t="s">
        <v>29</v>
      </c>
      <c r="N93" s="278" t="str">
        <f>VLOOKUP(P93,budget!$A$2:$C$99,3,0)</f>
        <v xml:space="preserve">საკრებულო - აპარატი </v>
      </c>
      <c r="O93" s="306"/>
      <c r="P93" s="289" t="s">
        <v>325</v>
      </c>
      <c r="Q93" s="278" t="str">
        <f>VLOOKUP(P93,budget!$A$2:$B$99,2,0)</f>
        <v>ქალაქ ბათუმის მუნიციპალიტეტის საკრებულო</v>
      </c>
      <c r="R93" s="281"/>
      <c r="S93" s="296"/>
      <c r="T93" s="283">
        <f>SUBTOTAL(9,U93:V93)</f>
        <v>0</v>
      </c>
      <c r="U93" s="283"/>
      <c r="V93" s="283"/>
      <c r="X93" s="284"/>
      <c r="Y93" s="285" t="str">
        <f t="shared" si="17"/>
        <v>-</v>
      </c>
      <c r="Z93" s="295"/>
    </row>
    <row r="94" spans="1:26" ht="29.25" customHeight="1">
      <c r="A94" s="64">
        <v>35</v>
      </c>
      <c r="B94" s="96">
        <v>44800000</v>
      </c>
      <c r="C94" s="76" t="s">
        <v>404</v>
      </c>
      <c r="D94" s="132" t="s">
        <v>405</v>
      </c>
      <c r="E94" s="38">
        <v>400</v>
      </c>
      <c r="F94" s="29" t="s">
        <v>28</v>
      </c>
      <c r="G94" s="79" t="s">
        <v>447</v>
      </c>
      <c r="H94" s="30" t="str">
        <f>M94</f>
        <v>მე-3 მუხ. 1-ლი პუნქ. "ს" ქვეპუნ.</v>
      </c>
      <c r="I94" s="300"/>
      <c r="J94" s="274">
        <v>1</v>
      </c>
      <c r="K94" s="287"/>
      <c r="L94" s="276">
        <v>2021</v>
      </c>
      <c r="M94" s="288" t="s">
        <v>29</v>
      </c>
      <c r="N94" s="278" t="str">
        <f>VLOOKUP(P94,budget!$A$2:$C$99,3,0)</f>
        <v xml:space="preserve">საკრებულო - აპარატი </v>
      </c>
      <c r="O94" s="306"/>
      <c r="P94" s="289" t="s">
        <v>325</v>
      </c>
      <c r="Q94" s="278" t="str">
        <f>VLOOKUP(P94,budget!$A$2:$B$99,2,0)</f>
        <v>ქალაქ ბათუმის მუნიციპალიტეტის საკრებულო</v>
      </c>
      <c r="R94" s="281"/>
      <c r="S94" s="296"/>
      <c r="T94" s="283">
        <f>SUBTOTAL(9,U94:V94)</f>
        <v>0</v>
      </c>
      <c r="U94" s="283"/>
      <c r="V94" s="283"/>
      <c r="X94" s="284"/>
      <c r="Y94" s="285" t="str">
        <f t="shared" si="17"/>
        <v>-</v>
      </c>
      <c r="Z94" s="295"/>
    </row>
    <row r="95" spans="1:26" ht="33.75" customHeight="1">
      <c r="A95" s="157">
        <v>36</v>
      </c>
      <c r="B95" s="154">
        <v>48200000</v>
      </c>
      <c r="C95" s="158" t="s">
        <v>706</v>
      </c>
      <c r="D95" s="152" t="s">
        <v>707</v>
      </c>
      <c r="E95" s="38">
        <v>500</v>
      </c>
      <c r="F95" s="29" t="s">
        <v>28</v>
      </c>
      <c r="G95" s="155" t="s">
        <v>708</v>
      </c>
      <c r="H95" s="30" t="str">
        <f>M95</f>
        <v>მე-3 მუხ. 1-ლი პუნქ. "ს" ქვეპუნ.</v>
      </c>
      <c r="I95" s="279" t="s">
        <v>461</v>
      </c>
      <c r="J95" s="274">
        <v>14</v>
      </c>
      <c r="K95" s="287"/>
      <c r="L95" s="276">
        <v>2021</v>
      </c>
      <c r="M95" s="288" t="s">
        <v>29</v>
      </c>
      <c r="N95" s="278" t="str">
        <f>VLOOKUP(P95,[9]budget!$A$2:$C$104,3,0)</f>
        <v>აპარატი - მატერ-ტექნიკ.</v>
      </c>
      <c r="O95" s="279" t="s">
        <v>55</v>
      </c>
      <c r="P95" s="280" t="s">
        <v>227</v>
      </c>
      <c r="Q95" s="278" t="str">
        <f>VLOOKUP(P95,[9]budget!$A$2:$B$104,2,0)</f>
        <v>ქალაქ ბათუმის მუნიციპალიტეტის მერია</v>
      </c>
      <c r="R95" s="290"/>
      <c r="S95" s="321"/>
      <c r="T95" s="307"/>
      <c r="U95" s="323"/>
      <c r="V95" s="283"/>
      <c r="W95" s="283"/>
      <c r="X95" s="308"/>
      <c r="Y95" s="285" t="str">
        <f t="shared" ref="Y95" si="19">IF(W95=0,"-",E95-W95)</f>
        <v>-</v>
      </c>
      <c r="Z95" s="241"/>
    </row>
    <row r="96" spans="1:26" ht="39.75" customHeight="1">
      <c r="A96" s="149">
        <v>37</v>
      </c>
      <c r="B96" s="145">
        <v>45400000</v>
      </c>
      <c r="C96" s="148" t="s">
        <v>661</v>
      </c>
      <c r="D96" s="150" t="s">
        <v>662</v>
      </c>
      <c r="E96" s="38">
        <v>200000</v>
      </c>
      <c r="F96" s="29" t="s">
        <v>22</v>
      </c>
      <c r="G96" s="143" t="s">
        <v>445</v>
      </c>
      <c r="H96" s="30"/>
      <c r="I96" s="304" t="s">
        <v>461</v>
      </c>
      <c r="J96" s="274">
        <v>11</v>
      </c>
      <c r="K96" s="325"/>
      <c r="L96" s="276">
        <v>2021</v>
      </c>
      <c r="M96" s="292"/>
      <c r="N96" s="278" t="str">
        <f>VLOOKUP(P96,budget!$A$2:$C$99,3,0)</f>
        <v>აპარატი - მატერ-ტექნიკ.</v>
      </c>
      <c r="O96" s="279"/>
      <c r="P96" s="289" t="s">
        <v>227</v>
      </c>
      <c r="Q96" s="278" t="str">
        <f>VLOOKUP(P96,budget!$A$2:$B$99,2,0)</f>
        <v>ქალაქ ბათუმის მუნიციპალიტეტის მერია</v>
      </c>
      <c r="R96" s="281"/>
      <c r="S96" s="296"/>
      <c r="T96" s="283"/>
      <c r="U96" s="283"/>
      <c r="V96" s="283"/>
      <c r="X96" s="284"/>
      <c r="Y96" s="285"/>
      <c r="Z96" s="295"/>
    </row>
    <row r="97" spans="1:26" ht="60">
      <c r="A97" s="56">
        <v>38</v>
      </c>
      <c r="B97" s="95">
        <v>48300000</v>
      </c>
      <c r="C97" s="93" t="s">
        <v>374</v>
      </c>
      <c r="D97" s="132" t="s">
        <v>34</v>
      </c>
      <c r="E97" s="38">
        <v>2400</v>
      </c>
      <c r="F97" s="29" t="s">
        <v>28</v>
      </c>
      <c r="G97" s="79" t="s">
        <v>443</v>
      </c>
      <c r="H97" s="30" t="str">
        <f>M97</f>
        <v>მე-3 მუხ. 1-ლი პუნქ. "ს" ქვეპუნ.</v>
      </c>
      <c r="I97" s="300"/>
      <c r="J97" s="274">
        <v>1</v>
      </c>
      <c r="K97" s="287"/>
      <c r="L97" s="276">
        <v>2021</v>
      </c>
      <c r="M97" s="288" t="s">
        <v>29</v>
      </c>
      <c r="N97" s="278" t="str">
        <f>budget!C18</f>
        <v>საკრებულო</v>
      </c>
      <c r="O97" s="279"/>
      <c r="P97" s="280" t="s">
        <v>325</v>
      </c>
      <c r="Q97" s="278" t="str">
        <f>VLOOKUP(P97,budget!$A$2:$B$99,2,0)</f>
        <v>ქალაქ ბათუმის მუნიციპალიტეტის საკრებულო</v>
      </c>
      <c r="R97" s="290"/>
      <c r="S97" s="282" t="s">
        <v>488</v>
      </c>
      <c r="T97" s="283">
        <f>SUBTOTAL(9,U97:V97)</f>
        <v>2400</v>
      </c>
      <c r="U97" s="283"/>
      <c r="V97" s="283">
        <v>2400</v>
      </c>
      <c r="X97" s="284" t="s">
        <v>489</v>
      </c>
      <c r="Y97" s="285">
        <f t="shared" si="17"/>
        <v>0</v>
      </c>
      <c r="Z97" s="295"/>
    </row>
    <row r="98" spans="1:26" ht="45" customHeight="1">
      <c r="A98" s="161">
        <v>39</v>
      </c>
      <c r="B98" s="161">
        <v>48500000</v>
      </c>
      <c r="C98" s="178" t="s">
        <v>375</v>
      </c>
      <c r="D98" s="132" t="s">
        <v>391</v>
      </c>
      <c r="E98" s="38">
        <f>1000+9290</f>
        <v>10290</v>
      </c>
      <c r="F98" s="29" t="s">
        <v>28</v>
      </c>
      <c r="G98" s="79" t="s">
        <v>446</v>
      </c>
      <c r="H98" s="30" t="str">
        <f>IF(L98=2020,M98,CONCATENATE(M98," მრავალწ. შესყიდ. ",L98," წ.წ. - შესყიდვის საერთო თანხა ",K98))</f>
        <v xml:space="preserve">მე-10(1) მუხლ. მე-3 პუნქ. ”ზ” ქვეპ. მრავალწ. შესყიდ. 2021 წ.წ. - შესყიდვის საერთო თანხა </v>
      </c>
      <c r="I98" s="300" t="s">
        <v>464</v>
      </c>
      <c r="J98" s="274">
        <v>2</v>
      </c>
      <c r="K98" s="287"/>
      <c r="L98" s="276">
        <v>2021</v>
      </c>
      <c r="M98" s="288" t="s">
        <v>60</v>
      </c>
      <c r="N98" s="278" t="str">
        <f>VLOOKUP(P98,budget!$A$2:$C$99,3,0)</f>
        <v>აპარატი - საქმისწარმოება</v>
      </c>
      <c r="O98" s="279"/>
      <c r="P98" s="280" t="s">
        <v>229</v>
      </c>
      <c r="Q98" s="278" t="str">
        <f>VLOOKUP(P98,budget!$A$2:$B$99,2,0)</f>
        <v>ქალაქ ბათუმის მუნიციპალიტეტის მერია</v>
      </c>
      <c r="R98" s="290"/>
      <c r="S98" s="291"/>
      <c r="T98" s="283">
        <f t="shared" si="16"/>
        <v>0</v>
      </c>
      <c r="U98" s="283"/>
      <c r="V98" s="283"/>
      <c r="W98" s="283"/>
      <c r="X98" s="284"/>
      <c r="Y98" s="285" t="str">
        <f t="shared" si="17"/>
        <v>-</v>
      </c>
      <c r="Z98" s="295"/>
    </row>
    <row r="99" spans="1:26" ht="45" customHeight="1">
      <c r="A99" s="162"/>
      <c r="B99" s="162"/>
      <c r="C99" s="180"/>
      <c r="D99" s="132" t="s">
        <v>356</v>
      </c>
      <c r="E99" s="38">
        <v>6600</v>
      </c>
      <c r="F99" s="29" t="s">
        <v>28</v>
      </c>
      <c r="G99" s="79" t="s">
        <v>446</v>
      </c>
      <c r="H99" s="30" t="str">
        <f>IF(L99=2020,M99,CONCATENATE(M99," მრავალწ. შესყიდ. ",L99," წ.წ. - შესყიდვის საერთო თანხა ",K99))</f>
        <v xml:space="preserve">მე-10(1) მუხლ. მე-3 პუნქ. ”ზ” ქვეპ. მრავალწ. შესყიდ. 2021 წ.წ. - შესყიდვის საერთო თანხა </v>
      </c>
      <c r="I99" s="300"/>
      <c r="J99" s="274">
        <v>1</v>
      </c>
      <c r="K99" s="287"/>
      <c r="L99" s="276">
        <v>2021</v>
      </c>
      <c r="M99" s="288" t="s">
        <v>60</v>
      </c>
      <c r="N99" s="278" t="str">
        <f>VLOOKUP(P99,budget!$A$2:$C$99,3,0)</f>
        <v xml:space="preserve">საკრებულო - აპარატი </v>
      </c>
      <c r="O99" s="279"/>
      <c r="P99" s="280" t="s">
        <v>325</v>
      </c>
      <c r="Q99" s="278" t="str">
        <f>VLOOKUP(P99,budget!$A$2:$B$99,2,0)</f>
        <v>ქალაქ ბათუმის მუნიციპალიტეტის საკრებულო</v>
      </c>
      <c r="R99" s="290"/>
      <c r="S99" s="282"/>
      <c r="T99" s="283">
        <f t="shared" si="16"/>
        <v>0</v>
      </c>
      <c r="U99" s="283"/>
      <c r="V99" s="283"/>
      <c r="W99" s="283"/>
      <c r="X99" s="284"/>
      <c r="Y99" s="285" t="str">
        <f t="shared" si="17"/>
        <v>-</v>
      </c>
      <c r="Z99" s="295"/>
    </row>
    <row r="100" spans="1:26" ht="42.75" customHeight="1">
      <c r="A100" s="161">
        <v>40</v>
      </c>
      <c r="B100" s="161">
        <v>48600000</v>
      </c>
      <c r="C100" s="183" t="s">
        <v>376</v>
      </c>
      <c r="D100" s="132" t="s">
        <v>361</v>
      </c>
      <c r="E100" s="38">
        <v>300</v>
      </c>
      <c r="F100" s="29" t="s">
        <v>28</v>
      </c>
      <c r="G100" s="79" t="s">
        <v>446</v>
      </c>
      <c r="H100" s="30" t="str">
        <f>M100</f>
        <v>მე-10(1) მუხლ. მე-3 პუნქ. ”ზ” ქვეპ.</v>
      </c>
      <c r="I100" s="300"/>
      <c r="J100" s="274">
        <v>1</v>
      </c>
      <c r="K100" s="287"/>
      <c r="L100" s="276">
        <v>2021</v>
      </c>
      <c r="M100" s="288" t="s">
        <v>60</v>
      </c>
      <c r="N100" s="278" t="str">
        <f>VLOOKUP(P100,budget!$A$2:$C$99,3,0)</f>
        <v xml:space="preserve">საკრებულო - აპარატი </v>
      </c>
      <c r="O100" s="279"/>
      <c r="P100" s="280" t="s">
        <v>325</v>
      </c>
      <c r="Q100" s="278" t="str">
        <f>VLOOKUP(P100,budget!$A$2:$B$99,2,0)</f>
        <v>ქალაქ ბათუმის მუნიციპალიტეტის საკრებულო</v>
      </c>
      <c r="R100" s="290"/>
      <c r="S100" s="282"/>
      <c r="T100" s="283">
        <f t="shared" si="16"/>
        <v>0</v>
      </c>
      <c r="U100" s="283"/>
      <c r="V100" s="283"/>
      <c r="W100" s="283"/>
      <c r="X100" s="284"/>
      <c r="Y100" s="285" t="str">
        <f t="shared" si="17"/>
        <v>-</v>
      </c>
      <c r="Z100" s="295"/>
    </row>
    <row r="101" spans="1:26" ht="53.25" customHeight="1">
      <c r="A101" s="162"/>
      <c r="B101" s="162"/>
      <c r="C101" s="184"/>
      <c r="D101" s="132" t="s">
        <v>361</v>
      </c>
      <c r="E101" s="38">
        <v>3500</v>
      </c>
      <c r="F101" s="29" t="s">
        <v>28</v>
      </c>
      <c r="G101" s="98" t="s">
        <v>446</v>
      </c>
      <c r="H101" s="30" t="str">
        <f>M101</f>
        <v>მე-10(1) მუხლ. მე-3 პუნქ. ”ზ” ქვეპ.</v>
      </c>
      <c r="I101" s="300"/>
      <c r="J101" s="274">
        <v>4</v>
      </c>
      <c r="K101" s="287"/>
      <c r="L101" s="276">
        <v>2021</v>
      </c>
      <c r="M101" s="288" t="s">
        <v>60</v>
      </c>
      <c r="N101" s="278" t="str">
        <f>VLOOKUP(P101,budget!$A$2:$C$99,3,0)</f>
        <v>აპარატი - მატერ-ტექნიკ.</v>
      </c>
      <c r="O101" s="279"/>
      <c r="P101" s="289" t="s">
        <v>227</v>
      </c>
      <c r="Q101" s="278" t="str">
        <f>VLOOKUP(P101,budget!$A$2:$B$99,2,0)</f>
        <v>ქალაქ ბათუმის მუნიციპალიტეტის მერია</v>
      </c>
      <c r="R101" s="290"/>
      <c r="S101" s="291"/>
      <c r="T101" s="283"/>
      <c r="U101" s="283"/>
      <c r="V101" s="283"/>
      <c r="W101" s="283"/>
      <c r="X101" s="284"/>
      <c r="Y101" s="285" t="str">
        <f t="shared" si="17"/>
        <v>-</v>
      </c>
      <c r="Z101" s="295"/>
    </row>
    <row r="102" spans="1:26" ht="27" customHeight="1">
      <c r="A102" s="161">
        <v>41</v>
      </c>
      <c r="B102" s="161">
        <v>48700000</v>
      </c>
      <c r="C102" s="178" t="s">
        <v>170</v>
      </c>
      <c r="D102" s="132" t="s">
        <v>331</v>
      </c>
      <c r="E102" s="38">
        <v>3800</v>
      </c>
      <c r="F102" s="29" t="s">
        <v>22</v>
      </c>
      <c r="G102" s="79" t="s">
        <v>446</v>
      </c>
      <c r="H102" s="30"/>
      <c r="I102" s="273"/>
      <c r="J102" s="274">
        <v>1</v>
      </c>
      <c r="K102" s="275"/>
      <c r="L102" s="276">
        <v>2021</v>
      </c>
      <c r="M102" s="292"/>
      <c r="N102" s="278" t="str">
        <f>VLOOKUP(P102,budget!$A$2:$C$99,3,0)</f>
        <v xml:space="preserve">საკრებულო - აპარატი </v>
      </c>
      <c r="O102" s="279"/>
      <c r="P102" s="289" t="s">
        <v>325</v>
      </c>
      <c r="Q102" s="278" t="str">
        <f>VLOOKUP(P102,budget!$A$2:$B$99,2,0)</f>
        <v>ქალაქ ბათუმის მუნიციპალიტეტის საკრებულო</v>
      </c>
      <c r="R102" s="281"/>
      <c r="S102" s="296"/>
      <c r="T102" s="283">
        <f t="shared" si="16"/>
        <v>0</v>
      </c>
      <c r="U102" s="283"/>
      <c r="V102" s="283"/>
      <c r="W102" s="283"/>
      <c r="X102" s="284"/>
      <c r="Y102" s="285" t="str">
        <f t="shared" si="17"/>
        <v>-</v>
      </c>
      <c r="Z102" s="295"/>
    </row>
    <row r="103" spans="1:26" ht="30" customHeight="1">
      <c r="A103" s="162"/>
      <c r="B103" s="162"/>
      <c r="C103" s="180"/>
      <c r="D103" s="132" t="s">
        <v>360</v>
      </c>
      <c r="E103" s="38">
        <v>7200</v>
      </c>
      <c r="F103" s="29" t="s">
        <v>22</v>
      </c>
      <c r="G103" s="79" t="s">
        <v>446</v>
      </c>
      <c r="H103" s="30"/>
      <c r="I103" s="273"/>
      <c r="J103" s="274">
        <v>1</v>
      </c>
      <c r="K103" s="275"/>
      <c r="L103" s="276">
        <v>2021</v>
      </c>
      <c r="M103" s="292"/>
      <c r="N103" s="278" t="str">
        <f>VLOOKUP(P103,budget!$A$2:$C$99,3,0)</f>
        <v>აპარატი - მატერ-ტექნიკ.</v>
      </c>
      <c r="O103" s="279"/>
      <c r="P103" s="289" t="s">
        <v>227</v>
      </c>
      <c r="Q103" s="278" t="str">
        <f>VLOOKUP(P103,budget!$A$2:$B$99,2,0)</f>
        <v>ქალაქ ბათუმის მუნიციპალიტეტის მერია</v>
      </c>
      <c r="R103" s="281"/>
      <c r="S103" s="293"/>
      <c r="T103" s="283">
        <f t="shared" si="16"/>
        <v>0</v>
      </c>
      <c r="U103" s="283"/>
      <c r="V103" s="283"/>
      <c r="W103" s="283"/>
      <c r="X103" s="284"/>
      <c r="Y103" s="285" t="str">
        <f t="shared" si="17"/>
        <v>-</v>
      </c>
      <c r="Z103" s="295"/>
    </row>
    <row r="104" spans="1:26" ht="24">
      <c r="A104" s="174">
        <v>42</v>
      </c>
      <c r="B104" s="161">
        <v>50100000</v>
      </c>
      <c r="C104" s="163" t="s">
        <v>45</v>
      </c>
      <c r="D104" s="132" t="s">
        <v>97</v>
      </c>
      <c r="E104" s="38">
        <v>70000</v>
      </c>
      <c r="F104" s="29" t="s">
        <v>22</v>
      </c>
      <c r="G104" s="79" t="s">
        <v>443</v>
      </c>
      <c r="H104" s="30"/>
      <c r="I104" s="286"/>
      <c r="J104" s="274">
        <v>1</v>
      </c>
      <c r="K104" s="305"/>
      <c r="L104" s="276">
        <v>2021</v>
      </c>
      <c r="M104" s="288"/>
      <c r="N104" s="278" t="str">
        <f>VLOOKUP(P104,budget!$A$2:$C$99,3,0)</f>
        <v>აპარატი - მატერ-ტექნიკ.</v>
      </c>
      <c r="O104" s="279"/>
      <c r="P104" s="280" t="s">
        <v>227</v>
      </c>
      <c r="Q104" s="278" t="str">
        <f>VLOOKUP(P104,budget!$A$2:$B$99,2,0)</f>
        <v>ქალაქ ბათუმის მუნიციპალიტეტის მერია</v>
      </c>
      <c r="R104" s="290"/>
      <c r="S104" s="291" t="s">
        <v>573</v>
      </c>
      <c r="T104" s="283">
        <f t="shared" si="16"/>
        <v>70000</v>
      </c>
      <c r="U104" s="283"/>
      <c r="V104" s="283">
        <v>70000</v>
      </c>
      <c r="W104" s="283"/>
      <c r="X104" s="284" t="s">
        <v>572</v>
      </c>
      <c r="Y104" s="285">
        <f t="shared" si="17"/>
        <v>0</v>
      </c>
      <c r="Z104" s="295"/>
    </row>
    <row r="105" spans="1:26" ht="24">
      <c r="A105" s="175"/>
      <c r="B105" s="162"/>
      <c r="C105" s="164"/>
      <c r="D105" s="132" t="s">
        <v>97</v>
      </c>
      <c r="E105" s="38">
        <v>30000</v>
      </c>
      <c r="F105" s="29" t="s">
        <v>22</v>
      </c>
      <c r="G105" s="79" t="s">
        <v>443</v>
      </c>
      <c r="H105" s="30"/>
      <c r="I105" s="273"/>
      <c r="J105" s="274">
        <v>1</v>
      </c>
      <c r="K105" s="275"/>
      <c r="L105" s="276">
        <v>2021</v>
      </c>
      <c r="M105" s="292"/>
      <c r="N105" s="278" t="str">
        <f>VLOOKUP(P105,budget!$A$2:$C$99,3,0)</f>
        <v xml:space="preserve">საკრებულო - აპარატი </v>
      </c>
      <c r="O105" s="279"/>
      <c r="P105" s="289" t="s">
        <v>325</v>
      </c>
      <c r="Q105" s="278" t="str">
        <f>VLOOKUP(P105,budget!$A$2:$B$99,2,0)</f>
        <v>ქალაქ ბათუმის მუნიციპალიტეტის საკრებულო</v>
      </c>
      <c r="R105" s="281"/>
      <c r="S105" s="293" t="s">
        <v>573</v>
      </c>
      <c r="T105" s="283">
        <f>SUBTOTAL(9,U105:V105)</f>
        <v>30000</v>
      </c>
      <c r="U105" s="283"/>
      <c r="V105" s="283">
        <v>30000</v>
      </c>
      <c r="X105" s="284" t="s">
        <v>572</v>
      </c>
      <c r="Y105" s="285">
        <f t="shared" si="17"/>
        <v>0</v>
      </c>
      <c r="Z105" s="295"/>
    </row>
    <row r="106" spans="1:26" ht="24">
      <c r="A106" s="174">
        <v>43</v>
      </c>
      <c r="B106" s="161">
        <v>50300000</v>
      </c>
      <c r="C106" s="163" t="s">
        <v>12</v>
      </c>
      <c r="D106" s="152" t="s">
        <v>43</v>
      </c>
      <c r="E106" s="38">
        <f>3000-65</f>
        <v>2935</v>
      </c>
      <c r="F106" s="29" t="s">
        <v>22</v>
      </c>
      <c r="G106" s="151" t="s">
        <v>446</v>
      </c>
      <c r="H106" s="30"/>
      <c r="I106" s="273" t="s">
        <v>645</v>
      </c>
      <c r="J106" s="274">
        <v>11</v>
      </c>
      <c r="K106" s="301"/>
      <c r="L106" s="276">
        <v>2021</v>
      </c>
      <c r="M106" s="292"/>
      <c r="N106" s="278" t="str">
        <f>VLOOKUP(P106,budget!$A$2:$C$99,3,0)</f>
        <v>აპარატი - მატერ-ტექნიკ.</v>
      </c>
      <c r="O106" s="279"/>
      <c r="P106" s="280" t="s">
        <v>227</v>
      </c>
      <c r="Q106" s="278" t="str">
        <f>VLOOKUP(P106,budget!$A$2:$B$99,2,0)</f>
        <v>ქალაქ ბათუმის მუნიციპალიტეტის მერია</v>
      </c>
      <c r="R106" s="290"/>
      <c r="S106" s="291" t="s">
        <v>557</v>
      </c>
      <c r="T106" s="283">
        <f t="shared" ref="T106" si="20">SUBTOTAL(9,U106:W106)</f>
        <v>2935</v>
      </c>
      <c r="U106" s="283"/>
      <c r="V106" s="283">
        <v>2935</v>
      </c>
      <c r="W106" s="283"/>
      <c r="X106" s="284" t="s">
        <v>556</v>
      </c>
      <c r="Y106" s="285">
        <f t="shared" ref="Y106" si="21">IF(V106=0,"-",E106-V106)</f>
        <v>0</v>
      </c>
      <c r="Z106" s="295"/>
    </row>
    <row r="107" spans="1:26" ht="24" customHeight="1">
      <c r="A107" s="176"/>
      <c r="B107" s="165"/>
      <c r="C107" s="186"/>
      <c r="D107" s="132" t="s">
        <v>43</v>
      </c>
      <c r="E107" s="38">
        <v>2500</v>
      </c>
      <c r="F107" s="29" t="s">
        <v>22</v>
      </c>
      <c r="G107" s="79" t="s">
        <v>448</v>
      </c>
      <c r="H107" s="30"/>
      <c r="I107" s="273" t="s">
        <v>461</v>
      </c>
      <c r="J107" s="274">
        <v>12</v>
      </c>
      <c r="K107" s="301"/>
      <c r="L107" s="276">
        <v>2021</v>
      </c>
      <c r="M107" s="292"/>
      <c r="N107" s="278" t="str">
        <f>VLOOKUP(P107,budget!$A$2:$C$99,3,0)</f>
        <v>აპარატი - მატერ-ტექნიკ.</v>
      </c>
      <c r="O107" s="279"/>
      <c r="P107" s="280" t="s">
        <v>227</v>
      </c>
      <c r="Q107" s="278" t="str">
        <f>VLOOKUP(P107,budget!$A$2:$B$99,2,0)</f>
        <v>ქალაქ ბათუმის მუნიციპალიტეტის მერია</v>
      </c>
      <c r="R107" s="290"/>
      <c r="S107" s="291"/>
      <c r="T107" s="283"/>
      <c r="U107" s="283"/>
      <c r="V107" s="283"/>
      <c r="W107" s="283"/>
      <c r="X107" s="284"/>
      <c r="Y107" s="285" t="str">
        <f t="shared" si="17"/>
        <v>-</v>
      </c>
      <c r="Z107" s="295"/>
    </row>
    <row r="108" spans="1:26" ht="33" customHeight="1">
      <c r="A108" s="176"/>
      <c r="B108" s="165"/>
      <c r="C108" s="186"/>
      <c r="D108" s="132" t="s">
        <v>43</v>
      </c>
      <c r="E108" s="38">
        <v>2000</v>
      </c>
      <c r="F108" s="29" t="s">
        <v>22</v>
      </c>
      <c r="G108" s="79" t="s">
        <v>446</v>
      </c>
      <c r="H108" s="30"/>
      <c r="I108" s="273">
        <v>-1000</v>
      </c>
      <c r="J108" s="274">
        <v>1</v>
      </c>
      <c r="K108" s="275"/>
      <c r="L108" s="276">
        <v>2021</v>
      </c>
      <c r="M108" s="292"/>
      <c r="N108" s="278" t="str">
        <f>VLOOKUP(P108,budget!$A$2:$C$99,3,0)</f>
        <v xml:space="preserve">საკრებულო - აპარატი </v>
      </c>
      <c r="O108" s="279"/>
      <c r="P108" s="289" t="s">
        <v>325</v>
      </c>
      <c r="Q108" s="278" t="str">
        <f>VLOOKUP(P108,budget!$A$2:$B$99,2,0)</f>
        <v>ქალაქ ბათუმის მუნიციპალიტეტის საკრებულო</v>
      </c>
      <c r="R108" s="281"/>
      <c r="S108" s="296" t="s">
        <v>584</v>
      </c>
      <c r="T108" s="294">
        <f t="shared" si="16"/>
        <v>2000</v>
      </c>
      <c r="U108" s="294"/>
      <c r="V108" s="283">
        <v>2000</v>
      </c>
      <c r="W108" s="283"/>
      <c r="X108" s="297" t="s">
        <v>583</v>
      </c>
      <c r="Y108" s="285">
        <f t="shared" si="17"/>
        <v>0</v>
      </c>
      <c r="Z108" s="295"/>
    </row>
    <row r="109" spans="1:26" ht="32.25" customHeight="1">
      <c r="A109" s="175"/>
      <c r="B109" s="162"/>
      <c r="C109" s="164"/>
      <c r="D109" s="132" t="s">
        <v>312</v>
      </c>
      <c r="E109" s="38">
        <f>437400-41070</f>
        <v>396330</v>
      </c>
      <c r="F109" s="29" t="s">
        <v>22</v>
      </c>
      <c r="G109" s="79" t="s">
        <v>443</v>
      </c>
      <c r="H109" s="61"/>
      <c r="I109" s="273" t="s">
        <v>643</v>
      </c>
      <c r="J109" s="274">
        <v>11</v>
      </c>
      <c r="K109" s="275"/>
      <c r="L109" s="276">
        <v>2021</v>
      </c>
      <c r="M109" s="276"/>
      <c r="N109" s="278" t="str">
        <f>VLOOKUP(P109,budget!$A$2:$C$99,3,0)</f>
        <v>კეთილმოწყობა</v>
      </c>
      <c r="O109" s="279"/>
      <c r="P109" s="289" t="s">
        <v>411</v>
      </c>
      <c r="Q109" s="278" t="str">
        <f>VLOOKUP(P109,budget!$A$2:$B$99,2,0)</f>
        <v>გზების, ქუჩებისა და ტროტუარების მიმდინარე მოვლა-პატრონობა</v>
      </c>
      <c r="R109" s="281"/>
      <c r="S109" s="282" t="s">
        <v>534</v>
      </c>
      <c r="T109" s="283">
        <f>SUBTOTAL(9,U109:V109)</f>
        <v>396330</v>
      </c>
      <c r="U109" s="283"/>
      <c r="V109" s="283">
        <v>396330</v>
      </c>
      <c r="X109" s="284" t="s">
        <v>533</v>
      </c>
      <c r="Y109" s="285">
        <f t="shared" si="17"/>
        <v>0</v>
      </c>
      <c r="Z109" s="295"/>
    </row>
    <row r="110" spans="1:26" ht="27" customHeight="1">
      <c r="A110" s="183">
        <v>44</v>
      </c>
      <c r="B110" s="183">
        <v>50700000</v>
      </c>
      <c r="C110" s="178" t="s">
        <v>33</v>
      </c>
      <c r="D110" s="132" t="s">
        <v>393</v>
      </c>
      <c r="E110" s="38">
        <v>3000</v>
      </c>
      <c r="F110" s="29" t="s">
        <v>22</v>
      </c>
      <c r="G110" s="79" t="s">
        <v>446</v>
      </c>
      <c r="H110" s="30"/>
      <c r="I110" s="300"/>
      <c r="J110" s="274">
        <v>1</v>
      </c>
      <c r="K110" s="301"/>
      <c r="L110" s="276">
        <v>2021</v>
      </c>
      <c r="M110" s="292"/>
      <c r="N110" s="278" t="str">
        <f>VLOOKUP(P110,[10]budget!$A$2:$C$104,3,0)</f>
        <v>აპარატი - მატერ-ტექნიკ.</v>
      </c>
      <c r="O110" s="279"/>
      <c r="P110" s="280" t="s">
        <v>227</v>
      </c>
      <c r="Q110" s="278" t="str">
        <f>VLOOKUP(P110,[10]budget!$A$2:$B$104,2,0)</f>
        <v>ქალაქ ბათუმის მუნიციპალიტეტის მერია</v>
      </c>
      <c r="R110" s="290"/>
      <c r="S110" s="291" t="s">
        <v>553</v>
      </c>
      <c r="T110" s="283">
        <f t="shared" si="16"/>
        <v>3000</v>
      </c>
      <c r="U110" s="326"/>
      <c r="V110" s="283">
        <v>3000</v>
      </c>
      <c r="W110" s="283"/>
      <c r="X110" s="284" t="s">
        <v>552</v>
      </c>
      <c r="Y110" s="285">
        <f t="shared" si="17"/>
        <v>0</v>
      </c>
      <c r="Z110" s="295"/>
    </row>
    <row r="111" spans="1:26" ht="25.5" customHeight="1">
      <c r="A111" s="184"/>
      <c r="B111" s="184"/>
      <c r="C111" s="180"/>
      <c r="D111" s="132" t="s">
        <v>33</v>
      </c>
      <c r="E111" s="38">
        <v>1000</v>
      </c>
      <c r="F111" s="29" t="s">
        <v>22</v>
      </c>
      <c r="G111" s="79" t="s">
        <v>446</v>
      </c>
      <c r="H111" s="30"/>
      <c r="I111" s="273"/>
      <c r="J111" s="274">
        <v>1</v>
      </c>
      <c r="K111" s="275"/>
      <c r="L111" s="276">
        <v>2021</v>
      </c>
      <c r="M111" s="292"/>
      <c r="N111" s="278" t="str">
        <f>VLOOKUP(P111,budget!$A$2:$C$99,3,0)</f>
        <v xml:space="preserve">საკრებულო - აპარატი </v>
      </c>
      <c r="O111" s="279"/>
      <c r="P111" s="289" t="s">
        <v>325</v>
      </c>
      <c r="Q111" s="278" t="str">
        <f>VLOOKUP(P111,budget!$A$2:$B$99,2,0)</f>
        <v>ქალაქ ბათუმის მუნიციპალიტეტის საკრებულო</v>
      </c>
      <c r="R111" s="281"/>
      <c r="S111" s="296" t="s">
        <v>696</v>
      </c>
      <c r="T111" s="283">
        <f t="shared" si="16"/>
        <v>1000</v>
      </c>
      <c r="U111" s="283"/>
      <c r="V111" s="283">
        <v>1000</v>
      </c>
      <c r="W111" s="283"/>
      <c r="X111" s="284" t="s">
        <v>552</v>
      </c>
      <c r="Y111" s="285">
        <f t="shared" si="17"/>
        <v>0</v>
      </c>
      <c r="Z111" s="295"/>
    </row>
    <row r="112" spans="1:26" ht="37.5" customHeight="1">
      <c r="A112" s="43">
        <v>45</v>
      </c>
      <c r="B112" s="94">
        <v>50800000</v>
      </c>
      <c r="C112" s="92" t="s">
        <v>332</v>
      </c>
      <c r="D112" s="132" t="s">
        <v>333</v>
      </c>
      <c r="E112" s="38">
        <v>500</v>
      </c>
      <c r="F112" s="29" t="s">
        <v>28</v>
      </c>
      <c r="G112" s="79" t="s">
        <v>446</v>
      </c>
      <c r="H112" s="30" t="str">
        <f t="shared" ref="H112:H116" si="22">M112</f>
        <v>მე-3 მუხ. 1-ლი პუნქ. "ს" ქვეპუნ.</v>
      </c>
      <c r="I112" s="300"/>
      <c r="J112" s="274">
        <v>1</v>
      </c>
      <c r="K112" s="287"/>
      <c r="L112" s="276">
        <v>2021</v>
      </c>
      <c r="M112" s="288" t="s">
        <v>29</v>
      </c>
      <c r="N112" s="278" t="str">
        <f>VLOOKUP(P112,budget!$A$2:$C$99,3,0)</f>
        <v xml:space="preserve">საკრებულო - აპარატი </v>
      </c>
      <c r="O112" s="279"/>
      <c r="P112" s="280" t="s">
        <v>325</v>
      </c>
      <c r="Q112" s="278" t="str">
        <f>VLOOKUP(P112,budget!$A$2:$B$99,2,0)</f>
        <v>ქალაქ ბათუმის მუნიციპალიტეტის საკრებულო</v>
      </c>
      <c r="R112" s="290"/>
      <c r="S112" s="282"/>
      <c r="T112" s="283">
        <f t="shared" si="16"/>
        <v>0</v>
      </c>
      <c r="U112" s="283"/>
      <c r="V112" s="283"/>
      <c r="W112" s="283"/>
      <c r="X112" s="284"/>
      <c r="Y112" s="285" t="str">
        <f t="shared" si="17"/>
        <v>-</v>
      </c>
      <c r="Z112" s="295"/>
    </row>
    <row r="113" spans="1:26" ht="36.75" customHeight="1">
      <c r="A113" s="176">
        <v>46</v>
      </c>
      <c r="B113" s="190">
        <v>55100000</v>
      </c>
      <c r="C113" s="179" t="s">
        <v>377</v>
      </c>
      <c r="D113" s="132" t="s">
        <v>147</v>
      </c>
      <c r="E113" s="38">
        <v>1000</v>
      </c>
      <c r="F113" s="29" t="s">
        <v>28</v>
      </c>
      <c r="G113" s="131" t="s">
        <v>446</v>
      </c>
      <c r="H113" s="30" t="str">
        <f t="shared" ref="H113" si="23">M113</f>
        <v>მე-10(1) მუხლ. მე-3 პუნქ. ”ვ” ქვეპ.</v>
      </c>
      <c r="I113" s="273">
        <v>-1000</v>
      </c>
      <c r="J113" s="274">
        <v>1</v>
      </c>
      <c r="K113" s="301"/>
      <c r="L113" s="276">
        <v>2021</v>
      </c>
      <c r="M113" s="277" t="s">
        <v>80</v>
      </c>
      <c r="N113" s="278" t="str">
        <f>VLOOKUP(P113,budget!$A$2:$C$99,3,0)</f>
        <v xml:space="preserve">საკრებულო - აპარატი </v>
      </c>
      <c r="O113" s="279"/>
      <c r="P113" s="280" t="s">
        <v>325</v>
      </c>
      <c r="Q113" s="278" t="str">
        <f>VLOOKUP(P113,budget!$A$2:$B$99,2,0)</f>
        <v>ქალაქ ბათუმის მუნიციპალიტეტის საკრებულო</v>
      </c>
      <c r="R113" s="290"/>
      <c r="S113" s="282"/>
      <c r="T113" s="283">
        <f t="shared" ref="T113" si="24">SUBTOTAL(9,U113:W113)</f>
        <v>0</v>
      </c>
      <c r="U113" s="283"/>
      <c r="V113" s="283"/>
      <c r="W113" s="283"/>
      <c r="X113" s="284"/>
      <c r="Y113" s="285" t="str">
        <f t="shared" ref="Y113" si="25">IF(V113=0,"-",E113-V113)</f>
        <v>-</v>
      </c>
      <c r="Z113" s="295"/>
    </row>
    <row r="114" spans="1:26" ht="36.75" customHeight="1">
      <c r="A114" s="176"/>
      <c r="B114" s="190"/>
      <c r="C114" s="179"/>
      <c r="D114" s="132" t="s">
        <v>147</v>
      </c>
      <c r="E114" s="38">
        <f>11000-8000</f>
        <v>3000</v>
      </c>
      <c r="F114" s="29" t="s">
        <v>28</v>
      </c>
      <c r="G114" s="79" t="s">
        <v>447</v>
      </c>
      <c r="H114" s="30" t="str">
        <f t="shared" si="22"/>
        <v>მე-10(1) მუხლ. მე-3 პუნქ. ”ვ” ქვეპ.</v>
      </c>
      <c r="I114" s="273" t="s">
        <v>637</v>
      </c>
      <c r="J114" s="274">
        <v>10</v>
      </c>
      <c r="K114" s="301"/>
      <c r="L114" s="276">
        <v>2021</v>
      </c>
      <c r="M114" s="277" t="s">
        <v>80</v>
      </c>
      <c r="N114" s="278" t="str">
        <f>VLOOKUP(P114,budget!$A$2:$C$99,3,0)</f>
        <v>აპარატი - პროტოკოლი</v>
      </c>
      <c r="O114" s="279"/>
      <c r="P114" s="280" t="s">
        <v>232</v>
      </c>
      <c r="Q114" s="278" t="str">
        <f>VLOOKUP(P114,budget!$A$2:$B$99,2,0)</f>
        <v>ქალაქ ბათუმის მუნიციპალიტეტის მერია</v>
      </c>
      <c r="R114" s="290"/>
      <c r="S114" s="282"/>
      <c r="T114" s="283">
        <f t="shared" si="16"/>
        <v>0</v>
      </c>
      <c r="U114" s="283"/>
      <c r="V114" s="283"/>
      <c r="W114" s="283"/>
      <c r="X114" s="284"/>
      <c r="Y114" s="285" t="str">
        <f t="shared" si="17"/>
        <v>-</v>
      </c>
      <c r="Z114" s="295"/>
    </row>
    <row r="115" spans="1:26" ht="32.25" customHeight="1">
      <c r="A115" s="176">
        <v>47</v>
      </c>
      <c r="B115" s="190">
        <v>55300000</v>
      </c>
      <c r="C115" s="217" t="s">
        <v>378</v>
      </c>
      <c r="D115" s="132" t="s">
        <v>148</v>
      </c>
      <c r="E115" s="38">
        <v>1000</v>
      </c>
      <c r="F115" s="29" t="s">
        <v>28</v>
      </c>
      <c r="G115" s="131" t="s">
        <v>446</v>
      </c>
      <c r="H115" s="30" t="str">
        <f t="shared" ref="H115" si="26">M115</f>
        <v>მე-10(1) მუხლ. მე-3 პუნქ. ”ვ” ქვეპ.</v>
      </c>
      <c r="I115" s="273">
        <v>-1000</v>
      </c>
      <c r="J115" s="274">
        <v>1</v>
      </c>
      <c r="K115" s="301"/>
      <c r="L115" s="276">
        <v>2021</v>
      </c>
      <c r="M115" s="277" t="s">
        <v>80</v>
      </c>
      <c r="N115" s="278" t="str">
        <f>VLOOKUP(P115,budget!$A$2:$C$99,3,0)</f>
        <v xml:space="preserve">საკრებულო - აპარატი </v>
      </c>
      <c r="O115" s="279"/>
      <c r="P115" s="280" t="s">
        <v>325</v>
      </c>
      <c r="Q115" s="278" t="str">
        <f>VLOOKUP(P115,budget!$A$2:$B$99,2,0)</f>
        <v>ქალაქ ბათუმის მუნიციპალიტეტის საკრებულო</v>
      </c>
      <c r="R115" s="290"/>
      <c r="S115" s="282"/>
      <c r="T115" s="283">
        <f t="shared" ref="T115" si="27">SUBTOTAL(9,U115:W115)</f>
        <v>0</v>
      </c>
      <c r="U115" s="283"/>
      <c r="V115" s="283"/>
      <c r="W115" s="283"/>
      <c r="X115" s="284"/>
      <c r="Y115" s="285" t="str">
        <f t="shared" ref="Y115" si="28">IF(V115=0,"-",E115-V115)</f>
        <v>-</v>
      </c>
      <c r="Z115" s="295"/>
    </row>
    <row r="116" spans="1:26" ht="32.25" customHeight="1">
      <c r="A116" s="176"/>
      <c r="B116" s="190"/>
      <c r="C116" s="217"/>
      <c r="D116" s="132" t="s">
        <v>148</v>
      </c>
      <c r="E116" s="38">
        <f>7000+8000</f>
        <v>15000</v>
      </c>
      <c r="F116" s="29" t="s">
        <v>28</v>
      </c>
      <c r="G116" s="79" t="s">
        <v>447</v>
      </c>
      <c r="H116" s="30" t="str">
        <f t="shared" si="22"/>
        <v>მე-10(1) მუხლ. მე-3 პუნქ. ”ვ” ქვეპ.</v>
      </c>
      <c r="I116" s="273" t="s">
        <v>636</v>
      </c>
      <c r="J116" s="274">
        <v>10</v>
      </c>
      <c r="K116" s="301"/>
      <c r="L116" s="276">
        <v>2021</v>
      </c>
      <c r="M116" s="277" t="s">
        <v>80</v>
      </c>
      <c r="N116" s="278" t="str">
        <f>VLOOKUP(P116,budget!$A$2:$C$99,3,0)</f>
        <v>აპარატი - პროტოკოლი</v>
      </c>
      <c r="O116" s="279"/>
      <c r="P116" s="280" t="s">
        <v>232</v>
      </c>
      <c r="Q116" s="278" t="str">
        <f>VLOOKUP(P116,budget!$A$2:$B$99,2,0)</f>
        <v>ქალაქ ბათუმის მუნიციპალიტეტის მერია</v>
      </c>
      <c r="R116" s="290"/>
      <c r="S116" s="282"/>
      <c r="T116" s="283">
        <f t="shared" si="16"/>
        <v>0</v>
      </c>
      <c r="U116" s="283"/>
      <c r="V116" s="283"/>
      <c r="W116" s="283"/>
      <c r="X116" s="284"/>
      <c r="Y116" s="285" t="str">
        <f t="shared" si="17"/>
        <v>-</v>
      </c>
      <c r="Z116" s="295"/>
    </row>
    <row r="117" spans="1:26" ht="32.25" customHeight="1">
      <c r="A117" s="176">
        <v>48</v>
      </c>
      <c r="B117" s="165">
        <v>60100000</v>
      </c>
      <c r="C117" s="170" t="s">
        <v>379</v>
      </c>
      <c r="D117" s="60" t="s">
        <v>460</v>
      </c>
      <c r="E117" s="38">
        <f>25000-5315</f>
        <v>19685</v>
      </c>
      <c r="F117" s="81" t="s">
        <v>22</v>
      </c>
      <c r="G117" s="80" t="s">
        <v>443</v>
      </c>
      <c r="H117" s="82"/>
      <c r="I117" s="280" t="s">
        <v>644</v>
      </c>
      <c r="J117" s="274">
        <v>11</v>
      </c>
      <c r="K117" s="301"/>
      <c r="L117" s="288">
        <v>2021</v>
      </c>
      <c r="M117" s="327"/>
      <c r="N117" s="278" t="str">
        <f>VLOOKUP(P117,[10]budget!$A$2:$C$104,3,0)</f>
        <v>სამხედრო</v>
      </c>
      <c r="O117" s="279"/>
      <c r="P117" s="280" t="s">
        <v>219</v>
      </c>
      <c r="Q117" s="278" t="str">
        <f>VLOOKUP(P117,[10]budget!$A$2:$B$104,2,0)</f>
        <v>წვევამდელთა ტრანსპორტირება</v>
      </c>
      <c r="R117" s="290"/>
      <c r="S117" s="282" t="s">
        <v>545</v>
      </c>
      <c r="T117" s="283"/>
      <c r="U117" s="328"/>
      <c r="V117" s="328">
        <v>19680.82</v>
      </c>
      <c r="X117" s="284" t="s">
        <v>546</v>
      </c>
      <c r="Y117" s="285">
        <f t="shared" si="17"/>
        <v>4.180000000000291</v>
      </c>
      <c r="Z117" s="295"/>
    </row>
    <row r="118" spans="1:26" ht="29.25" customHeight="1">
      <c r="A118" s="176"/>
      <c r="B118" s="165"/>
      <c r="C118" s="170"/>
      <c r="D118" s="59" t="s">
        <v>270</v>
      </c>
      <c r="E118" s="38">
        <f>11000-3069+5920</f>
        <v>13851</v>
      </c>
      <c r="F118" s="29" t="s">
        <v>22</v>
      </c>
      <c r="G118" s="108" t="s">
        <v>443</v>
      </c>
      <c r="H118" s="30"/>
      <c r="I118" s="273" t="s">
        <v>660</v>
      </c>
      <c r="J118" s="274">
        <v>11</v>
      </c>
      <c r="K118" s="301"/>
      <c r="L118" s="276">
        <v>2021</v>
      </c>
      <c r="M118" s="288"/>
      <c r="N118" s="278" t="str">
        <f>VLOOKUP(P118,budget!$A$2:$C$99,3,0)</f>
        <v>განათ. და კულტურა</v>
      </c>
      <c r="O118" s="279"/>
      <c r="P118" s="280" t="s">
        <v>158</v>
      </c>
      <c r="Q118" s="278" t="str">
        <f>VLOOKUP(P118,budget!$A$2:$B$99,2,0)</f>
        <v>ინკლუზიური განათლების ხელშეწყობა</v>
      </c>
      <c r="R118" s="290"/>
      <c r="S118" s="282" t="s">
        <v>576</v>
      </c>
      <c r="T118" s="283">
        <f>SUBTOTAL(9,U118:V118)</f>
        <v>4960</v>
      </c>
      <c r="U118" s="283"/>
      <c r="V118" s="283">
        <v>4960</v>
      </c>
      <c r="X118" s="284" t="s">
        <v>575</v>
      </c>
      <c r="Y118" s="285">
        <f t="shared" si="17"/>
        <v>8891</v>
      </c>
      <c r="Z118" s="295"/>
    </row>
    <row r="119" spans="1:26" ht="39.75" customHeight="1">
      <c r="A119" s="176"/>
      <c r="B119" s="165"/>
      <c r="C119" s="170"/>
      <c r="D119" s="59" t="s">
        <v>270</v>
      </c>
      <c r="E119" s="38">
        <v>3069</v>
      </c>
      <c r="F119" s="29" t="s">
        <v>28</v>
      </c>
      <c r="G119" s="131" t="s">
        <v>446</v>
      </c>
      <c r="H119" s="30" t="str">
        <f>M119</f>
        <v>10(1) მუხლის მე-3 პუნქტის ,,ბ“ ქვეპუნქტი</v>
      </c>
      <c r="I119" s="273" t="s">
        <v>461</v>
      </c>
      <c r="J119" s="274">
        <v>5</v>
      </c>
      <c r="K119" s="301"/>
      <c r="L119" s="276">
        <v>2021</v>
      </c>
      <c r="M119" s="277" t="s">
        <v>478</v>
      </c>
      <c r="N119" s="278" t="str">
        <f>VLOOKUP(P119,budget!$A$2:$C$99,3,0)</f>
        <v>განათ. და კულტურა</v>
      </c>
      <c r="O119" s="279"/>
      <c r="P119" s="280" t="s">
        <v>158</v>
      </c>
      <c r="Q119" s="278" t="str">
        <f>VLOOKUP(P119,budget!$A$2:$B$99,2,0)</f>
        <v>ინკლუზიური განათლების ხელშეწყობა</v>
      </c>
      <c r="R119" s="290"/>
      <c r="S119" s="282" t="s">
        <v>538</v>
      </c>
      <c r="T119" s="283">
        <f>SUBTOTAL(9,U119:V119)</f>
        <v>3069</v>
      </c>
      <c r="U119" s="283"/>
      <c r="V119" s="283">
        <v>3069</v>
      </c>
      <c r="X119" s="284" t="s">
        <v>539</v>
      </c>
      <c r="Y119" s="285">
        <f t="shared" ref="Y119:Y120" si="29">IF(V119=0,"-",E119-V119)</f>
        <v>0</v>
      </c>
      <c r="Z119" s="295"/>
    </row>
    <row r="120" spans="1:26" ht="39.75" customHeight="1">
      <c r="A120" s="176"/>
      <c r="B120" s="165"/>
      <c r="C120" s="170"/>
      <c r="D120" s="59" t="s">
        <v>628</v>
      </c>
      <c r="E120" s="38">
        <v>200</v>
      </c>
      <c r="F120" s="29" t="s">
        <v>28</v>
      </c>
      <c r="G120" s="131" t="s">
        <v>446</v>
      </c>
      <c r="H120" s="30" t="str">
        <f>M120</f>
        <v>მე-9 მუხლ. მე-3(1) პუნქტი ”ა” ქვეპ..</v>
      </c>
      <c r="I120" s="273" t="s">
        <v>461</v>
      </c>
      <c r="J120" s="274">
        <v>8</v>
      </c>
      <c r="K120" s="301"/>
      <c r="L120" s="276">
        <v>2021</v>
      </c>
      <c r="M120" s="277" t="s">
        <v>470</v>
      </c>
      <c r="N120" s="278" t="str">
        <f>VLOOKUP(P120,budget!$A$2:$C$99,3,0)</f>
        <v xml:space="preserve">საკრებულო - აპარატი </v>
      </c>
      <c r="O120" s="279"/>
      <c r="P120" s="280" t="s">
        <v>325</v>
      </c>
      <c r="Q120" s="278" t="str">
        <f>VLOOKUP(P120,budget!$A$2:$B$99,2,0)</f>
        <v>ქალაქ ბათუმის მუნიციპალიტეტის საკრებულო</v>
      </c>
      <c r="R120" s="290"/>
      <c r="S120" s="282" t="s">
        <v>682</v>
      </c>
      <c r="T120" s="283"/>
      <c r="U120" s="283"/>
      <c r="V120" s="283">
        <v>200</v>
      </c>
      <c r="X120" s="284" t="s">
        <v>683</v>
      </c>
      <c r="Y120" s="285">
        <f t="shared" si="29"/>
        <v>0</v>
      </c>
      <c r="Z120" s="295"/>
    </row>
    <row r="121" spans="1:26" ht="39.75" customHeight="1">
      <c r="A121" s="175"/>
      <c r="B121" s="162"/>
      <c r="C121" s="171"/>
      <c r="D121" s="59" t="s">
        <v>629</v>
      </c>
      <c r="E121" s="38">
        <v>900</v>
      </c>
      <c r="F121" s="29" t="s">
        <v>28</v>
      </c>
      <c r="G121" s="108" t="s">
        <v>447</v>
      </c>
      <c r="H121" s="30" t="str">
        <f>M121</f>
        <v>მე-10(1) მუხლ. მე-3 პუნქ. ”ვ” ქვეპ.</v>
      </c>
      <c r="I121" s="273" t="s">
        <v>461</v>
      </c>
      <c r="J121" s="274">
        <v>8</v>
      </c>
      <c r="K121" s="301"/>
      <c r="L121" s="276">
        <v>2021</v>
      </c>
      <c r="M121" s="277" t="s">
        <v>80</v>
      </c>
      <c r="N121" s="278" t="str">
        <f>VLOOKUP(P121,budget!$A$2:$C$99,3,0)</f>
        <v>აპარატი - პროტოკოლი</v>
      </c>
      <c r="O121" s="279"/>
      <c r="P121" s="280" t="s">
        <v>232</v>
      </c>
      <c r="Q121" s="278" t="str">
        <f>VLOOKUP(P121,budget!$A$2:$B$99,2,0)</f>
        <v>ქალაქ ბათუმის მუნიციპალიტეტის მერია</v>
      </c>
      <c r="R121" s="290"/>
      <c r="S121" s="282"/>
      <c r="T121" s="283"/>
      <c r="U121" s="283"/>
      <c r="V121" s="283"/>
      <c r="X121" s="284"/>
      <c r="Y121" s="285" t="str">
        <f t="shared" si="17"/>
        <v>-</v>
      </c>
      <c r="Z121" s="295"/>
    </row>
    <row r="122" spans="1:26" ht="33.75" customHeight="1">
      <c r="A122" s="159">
        <v>49</v>
      </c>
      <c r="B122" s="160">
        <v>63700000</v>
      </c>
      <c r="C122" s="214" t="s">
        <v>208</v>
      </c>
      <c r="D122" s="132" t="s">
        <v>96</v>
      </c>
      <c r="E122" s="38">
        <v>1020</v>
      </c>
      <c r="F122" s="29" t="s">
        <v>28</v>
      </c>
      <c r="G122" s="31" t="s">
        <v>447</v>
      </c>
      <c r="H122" s="30" t="str">
        <f t="shared" ref="H122:H128" si="30">M122</f>
        <v>მე-10(1) მუხლ. მე-3 პუნქ. ”ზ” ქვეპ.</v>
      </c>
      <c r="I122" s="300"/>
      <c r="J122" s="274">
        <v>1</v>
      </c>
      <c r="K122" s="287"/>
      <c r="L122" s="276">
        <v>2021</v>
      </c>
      <c r="M122" s="276" t="s">
        <v>60</v>
      </c>
      <c r="N122" s="278" t="str">
        <f>VLOOKUP(P122,budget!$A$2:$C$99,3,0)</f>
        <v>აპარატი - მატერ-ტექნიკ.</v>
      </c>
      <c r="O122" s="306"/>
      <c r="P122" s="289" t="s">
        <v>227</v>
      </c>
      <c r="Q122" s="278" t="str">
        <f>VLOOKUP(P122,budget!$A$2:$B$99,2,0)</f>
        <v>ქალაქ ბათუმის მუნიციპალიტეტის მერია</v>
      </c>
      <c r="R122" s="281"/>
      <c r="S122" s="291"/>
      <c r="T122" s="283"/>
      <c r="U122" s="283"/>
      <c r="V122" s="283"/>
      <c r="X122" s="284"/>
      <c r="Y122" s="285" t="str">
        <f t="shared" si="17"/>
        <v>-</v>
      </c>
      <c r="Z122" s="295"/>
    </row>
    <row r="123" spans="1:26" ht="37.5" customHeight="1">
      <c r="A123" s="159"/>
      <c r="B123" s="160"/>
      <c r="C123" s="214"/>
      <c r="D123" s="132" t="s">
        <v>334</v>
      </c>
      <c r="E123" s="38">
        <v>600</v>
      </c>
      <c r="F123" s="29" t="s">
        <v>28</v>
      </c>
      <c r="G123" s="79" t="s">
        <v>446</v>
      </c>
      <c r="H123" s="30" t="str">
        <f t="shared" si="30"/>
        <v>მე-10(1) მუხლ. მე-3 პუნქ. ”ზ” ქვეპ.</v>
      </c>
      <c r="I123" s="300"/>
      <c r="J123" s="274">
        <v>1</v>
      </c>
      <c r="K123" s="287"/>
      <c r="L123" s="276">
        <v>2021</v>
      </c>
      <c r="M123" s="276" t="s">
        <v>60</v>
      </c>
      <c r="N123" s="278" t="str">
        <f>VLOOKUP(P123,budget!$A$2:$C$99,3,0)</f>
        <v xml:space="preserve">საკრებულო - აპარატი </v>
      </c>
      <c r="O123" s="279"/>
      <c r="P123" s="280" t="s">
        <v>325</v>
      </c>
      <c r="Q123" s="278" t="str">
        <f>VLOOKUP(P123,budget!$A$2:$B$99,2,0)</f>
        <v>ქალაქ ბათუმის მუნიციპალიტეტის საკრებულო</v>
      </c>
      <c r="R123" s="290"/>
      <c r="S123" s="282" t="s">
        <v>569</v>
      </c>
      <c r="T123" s="283">
        <f>SUBTOTAL(9,U123:V123)</f>
        <v>540</v>
      </c>
      <c r="U123" s="283"/>
      <c r="V123" s="283">
        <v>540</v>
      </c>
      <c r="X123" s="284" t="s">
        <v>568</v>
      </c>
      <c r="Y123" s="285">
        <f t="shared" si="17"/>
        <v>60</v>
      </c>
      <c r="Z123" s="295"/>
    </row>
    <row r="124" spans="1:26" ht="33.75" customHeight="1">
      <c r="A124" s="159"/>
      <c r="B124" s="160"/>
      <c r="C124" s="214"/>
      <c r="D124" s="132" t="s">
        <v>303</v>
      </c>
      <c r="E124" s="38">
        <v>3000</v>
      </c>
      <c r="F124" s="29" t="s">
        <v>28</v>
      </c>
      <c r="G124" s="31" t="s">
        <v>443</v>
      </c>
      <c r="H124" s="30" t="str">
        <f t="shared" si="30"/>
        <v>მე-3 მუხ. 1-ლი პუნქ. "ს" ქვეპუნ.</v>
      </c>
      <c r="I124" s="300"/>
      <c r="J124" s="274">
        <v>1</v>
      </c>
      <c r="K124" s="287"/>
      <c r="L124" s="276">
        <v>2021</v>
      </c>
      <c r="M124" s="276" t="s">
        <v>29</v>
      </c>
      <c r="N124" s="278" t="str">
        <f>VLOOKUP(P124,budget!$A$2:$C$99,3,0)</f>
        <v>აპარატი - მატერ-ტექნიკ.</v>
      </c>
      <c r="O124" s="306"/>
      <c r="P124" s="289" t="s">
        <v>227</v>
      </c>
      <c r="Q124" s="278" t="str">
        <f>VLOOKUP(P124,budget!$A$2:$B$99,2,0)</f>
        <v>ქალაქ ბათუმის მუნიციპალიტეტის მერია</v>
      </c>
      <c r="R124" s="281"/>
      <c r="S124" s="291" t="s">
        <v>510</v>
      </c>
      <c r="T124" s="283">
        <f t="shared" si="16"/>
        <v>1716</v>
      </c>
      <c r="U124" s="283"/>
      <c r="V124" s="283">
        <v>1716</v>
      </c>
      <c r="W124" s="283"/>
      <c r="X124" s="284" t="s">
        <v>511</v>
      </c>
      <c r="Y124" s="285">
        <f t="shared" si="17"/>
        <v>1284</v>
      </c>
      <c r="Z124" s="295"/>
    </row>
    <row r="125" spans="1:26" ht="33.75" customHeight="1">
      <c r="A125" s="174">
        <v>50</v>
      </c>
      <c r="B125" s="161">
        <v>64100000</v>
      </c>
      <c r="C125" s="215" t="s">
        <v>453</v>
      </c>
      <c r="D125" s="132" t="s">
        <v>454</v>
      </c>
      <c r="E125" s="38">
        <f>26100-1800</f>
        <v>24300</v>
      </c>
      <c r="F125" s="29" t="s">
        <v>22</v>
      </c>
      <c r="G125" s="79" t="s">
        <v>446</v>
      </c>
      <c r="H125" s="30"/>
      <c r="I125" s="286" t="s">
        <v>639</v>
      </c>
      <c r="J125" s="274">
        <v>11</v>
      </c>
      <c r="K125" s="287"/>
      <c r="L125" s="276">
        <v>2021</v>
      </c>
      <c r="M125" s="276" t="s">
        <v>29</v>
      </c>
      <c r="N125" s="278" t="str">
        <f>VLOOKUP(P125,budget!$A$2:$C$99,3,0)</f>
        <v>აპარატი - მატერ-ტექნიკ.</v>
      </c>
      <c r="O125" s="306"/>
      <c r="P125" s="289" t="s">
        <v>227</v>
      </c>
      <c r="Q125" s="278"/>
      <c r="R125" s="281"/>
      <c r="S125" s="291" t="s">
        <v>505</v>
      </c>
      <c r="T125" s="283">
        <f t="shared" si="16"/>
        <v>24300</v>
      </c>
      <c r="U125" s="283"/>
      <c r="V125" s="283">
        <v>24300</v>
      </c>
      <c r="W125" s="283"/>
      <c r="X125" s="284" t="s">
        <v>504</v>
      </c>
      <c r="Y125" s="285">
        <f t="shared" si="17"/>
        <v>0</v>
      </c>
      <c r="Z125" s="295"/>
    </row>
    <row r="126" spans="1:26" ht="33.75" customHeight="1">
      <c r="A126" s="175"/>
      <c r="B126" s="162"/>
      <c r="C126" s="216"/>
      <c r="D126" s="132" t="s">
        <v>600</v>
      </c>
      <c r="E126" s="38">
        <v>100</v>
      </c>
      <c r="F126" s="29" t="s">
        <v>28</v>
      </c>
      <c r="G126" s="130" t="s">
        <v>447</v>
      </c>
      <c r="H126" s="30" t="str">
        <f>M126</f>
        <v>მე-10(1) მუხლ. მე-3 პუნქ. ”ა” ქვეპ.</v>
      </c>
      <c r="I126" s="329" t="s">
        <v>461</v>
      </c>
      <c r="J126" s="274">
        <v>7</v>
      </c>
      <c r="K126" s="287"/>
      <c r="L126" s="276">
        <v>2021</v>
      </c>
      <c r="M126" s="288" t="s">
        <v>61</v>
      </c>
      <c r="N126" s="278" t="str">
        <f>VLOOKUP(P126,[11]budget!$A$2:$C$99,3,0)</f>
        <v>აპარატი - მატერ-ტექნიკ.</v>
      </c>
      <c r="O126" s="306"/>
      <c r="P126" s="289" t="s">
        <v>227</v>
      </c>
      <c r="Q126" s="278" t="str">
        <f>VLOOKUP(P126,[11]budget!$A$2:$B$99,2,0)</f>
        <v>ქალაქ ბათუმის მუნიციპალიტეტის მერია</v>
      </c>
      <c r="R126" s="281"/>
      <c r="S126" s="291" t="s">
        <v>666</v>
      </c>
      <c r="T126" s="283"/>
      <c r="U126" s="283"/>
      <c r="V126" s="283">
        <v>100</v>
      </c>
      <c r="W126" s="283"/>
      <c r="X126" s="284" t="s">
        <v>667</v>
      </c>
      <c r="Y126" s="285">
        <f t="shared" si="17"/>
        <v>0</v>
      </c>
      <c r="Z126" s="295"/>
    </row>
    <row r="127" spans="1:26" ht="33.75" customHeight="1">
      <c r="A127" s="174">
        <v>51</v>
      </c>
      <c r="B127" s="161">
        <v>64200000</v>
      </c>
      <c r="C127" s="169" t="s">
        <v>13</v>
      </c>
      <c r="D127" s="132" t="s">
        <v>146</v>
      </c>
      <c r="E127" s="38">
        <v>1200</v>
      </c>
      <c r="F127" s="41" t="s">
        <v>28</v>
      </c>
      <c r="G127" s="79" t="s">
        <v>443</v>
      </c>
      <c r="H127" s="30" t="str">
        <f t="shared" si="30"/>
        <v>მე-10(1) მუხლ. მე-3 პუნქ. ”ა” ქვეპ.</v>
      </c>
      <c r="I127" s="286"/>
      <c r="J127" s="274">
        <v>1</v>
      </c>
      <c r="K127" s="305"/>
      <c r="L127" s="276">
        <v>2021</v>
      </c>
      <c r="M127" s="288" t="s">
        <v>61</v>
      </c>
      <c r="N127" s="278" t="str">
        <f>VLOOKUP(P127,budget!$A$2:$C$99,3,0)</f>
        <v>აპარატი - მატერ-ტექნიკ.</v>
      </c>
      <c r="O127" s="306"/>
      <c r="P127" s="280" t="s">
        <v>227</v>
      </c>
      <c r="Q127" s="278" t="str">
        <f>VLOOKUP(P127,budget!$A$2:$B$99,2,0)</f>
        <v>ქალაქ ბათუმის მუნიციპალიტეტის მერია</v>
      </c>
      <c r="R127" s="290"/>
      <c r="S127" s="291" t="s">
        <v>491</v>
      </c>
      <c r="T127" s="283">
        <f t="shared" si="16"/>
        <v>1200</v>
      </c>
      <c r="U127" s="283"/>
      <c r="V127" s="283">
        <v>1200</v>
      </c>
      <c r="W127" s="283"/>
      <c r="X127" s="284" t="s">
        <v>490</v>
      </c>
      <c r="Y127" s="285">
        <f t="shared" si="17"/>
        <v>0</v>
      </c>
      <c r="Z127" s="295"/>
    </row>
    <row r="128" spans="1:26" ht="33.75" customHeight="1">
      <c r="A128" s="176"/>
      <c r="B128" s="165"/>
      <c r="C128" s="170"/>
      <c r="D128" s="132" t="s">
        <v>345</v>
      </c>
      <c r="E128" s="38">
        <v>1200</v>
      </c>
      <c r="F128" s="41" t="s">
        <v>28</v>
      </c>
      <c r="G128" s="79" t="s">
        <v>443</v>
      </c>
      <c r="H128" s="30" t="str">
        <f t="shared" si="30"/>
        <v>მე-10(1) მუხლ. მე-3 პუნქ. ”ა” ქვეპ.</v>
      </c>
      <c r="I128" s="286"/>
      <c r="J128" s="274">
        <v>1</v>
      </c>
      <c r="K128" s="305"/>
      <c r="L128" s="276">
        <v>2021</v>
      </c>
      <c r="M128" s="288" t="s">
        <v>61</v>
      </c>
      <c r="N128" s="278" t="str">
        <f>budget!C18</f>
        <v>საკრებულო</v>
      </c>
      <c r="O128" s="306"/>
      <c r="P128" s="280" t="s">
        <v>325</v>
      </c>
      <c r="Q128" s="278" t="str">
        <f>VLOOKUP(P128,budget!$A$2:$B$99,2,0)</f>
        <v>ქალაქ ბათუმის მუნიციპალიტეტის საკრებულო</v>
      </c>
      <c r="R128" s="290"/>
      <c r="S128" s="282" t="s">
        <v>492</v>
      </c>
      <c r="T128" s="283">
        <f>SUBTOTAL(9,U128:V128)</f>
        <v>1200</v>
      </c>
      <c r="U128" s="283"/>
      <c r="V128" s="283">
        <v>1200</v>
      </c>
      <c r="X128" s="284" t="s">
        <v>490</v>
      </c>
      <c r="Y128" s="285">
        <f t="shared" si="17"/>
        <v>0</v>
      </c>
      <c r="Z128" s="295"/>
    </row>
    <row r="129" spans="1:26" ht="43.5" customHeight="1">
      <c r="A129" s="176"/>
      <c r="B129" s="165"/>
      <c r="C129" s="170"/>
      <c r="D129" s="132" t="s">
        <v>398</v>
      </c>
      <c r="E129" s="38">
        <v>24000</v>
      </c>
      <c r="F129" s="45" t="s">
        <v>100</v>
      </c>
      <c r="G129" s="79" t="s">
        <v>399</v>
      </c>
      <c r="H129" s="30" t="str">
        <f>IF(L129=2018,M129,CONCATENATE(M129," მრავალწ. შესყიდ. ",L129," წ.წ. - შესყიდვის საერთო თანხა ",K129))</f>
        <v xml:space="preserve"> მრავალწ. შესყიდ. 2018-2020 წ.წ. - შესყიდვის საერთო თანხა 65500</v>
      </c>
      <c r="I129" s="286"/>
      <c r="J129" s="274">
        <v>1</v>
      </c>
      <c r="K129" s="305">
        <f>53500+12000</f>
        <v>65500</v>
      </c>
      <c r="L129" s="322" t="s">
        <v>400</v>
      </c>
      <c r="M129" s="288"/>
      <c r="N129" s="278" t="str">
        <f>VLOOKUP(P129,[12]budget!$A$2:$C$104,3,0)</f>
        <v>აპარატი - მატერ-ტექნიკ.</v>
      </c>
      <c r="O129" s="279"/>
      <c r="P129" s="280" t="s">
        <v>227</v>
      </c>
      <c r="Q129" s="278" t="str">
        <f>VLOOKUP(P129,[12]budget!$A$2:$B$104,2,0)</f>
        <v>ქალაქ ბათუმის მუნიციპალიტეტის მერია</v>
      </c>
      <c r="R129" s="290"/>
      <c r="S129" s="291"/>
      <c r="T129" s="283">
        <f t="shared" si="16"/>
        <v>0</v>
      </c>
      <c r="U129" s="283"/>
      <c r="V129" s="283"/>
      <c r="W129" s="283"/>
      <c r="X129" s="284"/>
      <c r="Y129" s="285" t="str">
        <f t="shared" si="17"/>
        <v>-</v>
      </c>
      <c r="Z129" s="295"/>
    </row>
    <row r="130" spans="1:26" ht="47.25" customHeight="1">
      <c r="A130" s="176"/>
      <c r="B130" s="165"/>
      <c r="C130" s="170"/>
      <c r="D130" s="132" t="s">
        <v>398</v>
      </c>
      <c r="E130" s="55">
        <v>21000</v>
      </c>
      <c r="F130" s="45" t="s">
        <v>100</v>
      </c>
      <c r="G130" s="79" t="s">
        <v>324</v>
      </c>
      <c r="H130" s="30" t="str">
        <f>IF(L130=2018,M130,CONCATENATE(M130," მრავალწ. შესყიდ. ",L130," წ.წ. - შესყიდვის საერთო თანხა ",K130))</f>
        <v xml:space="preserve"> მრავალწ. შესყიდ. 2019-2020 წ.წ. - შესყიდვის საერთო თანხა 35900</v>
      </c>
      <c r="I130" s="286"/>
      <c r="J130" s="274">
        <v>1</v>
      </c>
      <c r="K130" s="330">
        <f>26500+9400</f>
        <v>35900</v>
      </c>
      <c r="L130" s="322" t="s">
        <v>401</v>
      </c>
      <c r="M130" s="288"/>
      <c r="N130" s="278" t="str">
        <f>VLOOKUP(P130,[12]budget!$A$2:$C$104,3,0)</f>
        <v>საკრებულო</v>
      </c>
      <c r="O130" s="279"/>
      <c r="P130" s="280" t="s">
        <v>325</v>
      </c>
      <c r="Q130" s="278" t="str">
        <f>VLOOKUP(P130,[12]budget!$A$2:$B$104,2,0)</f>
        <v>ქალაქ ბათუმის მუნიციპალიტეტის საკრებულო</v>
      </c>
      <c r="R130" s="290"/>
      <c r="S130" s="282"/>
      <c r="T130" s="283">
        <f t="shared" si="16"/>
        <v>0</v>
      </c>
      <c r="U130" s="283"/>
      <c r="V130" s="283"/>
      <c r="W130" s="283"/>
      <c r="X130" s="284"/>
      <c r="Y130" s="285" t="str">
        <f t="shared" si="17"/>
        <v>-</v>
      </c>
      <c r="Z130" s="295"/>
    </row>
    <row r="131" spans="1:26" ht="25.5" customHeight="1">
      <c r="A131" s="176"/>
      <c r="B131" s="165"/>
      <c r="C131" s="170"/>
      <c r="D131" s="132" t="s">
        <v>3</v>
      </c>
      <c r="E131" s="38">
        <v>6000</v>
      </c>
      <c r="F131" s="29" t="s">
        <v>22</v>
      </c>
      <c r="G131" s="79" t="s">
        <v>443</v>
      </c>
      <c r="H131" s="30"/>
      <c r="I131" s="273"/>
      <c r="J131" s="274">
        <v>1</v>
      </c>
      <c r="K131" s="275"/>
      <c r="L131" s="276">
        <v>2021</v>
      </c>
      <c r="M131" s="292"/>
      <c r="N131" s="278" t="str">
        <f>VLOOKUP(P131,budget!$A$2:$C$99,3,0)</f>
        <v xml:space="preserve">საკრებულო - აპარატი </v>
      </c>
      <c r="O131" s="279"/>
      <c r="P131" s="289" t="s">
        <v>325</v>
      </c>
      <c r="Q131" s="278" t="str">
        <f>VLOOKUP(P131,budget!$A$2:$B$99,2,0)</f>
        <v>ქალაქ ბათუმის მუნიციპალიტეტის საკრებულო</v>
      </c>
      <c r="R131" s="281"/>
      <c r="S131" s="296" t="s">
        <v>497</v>
      </c>
      <c r="T131" s="331">
        <f>SUBTOTAL(9,U131:V131)</f>
        <v>5850</v>
      </c>
      <c r="U131" s="331"/>
      <c r="V131" s="331">
        <v>5850</v>
      </c>
      <c r="X131" s="332" t="s">
        <v>496</v>
      </c>
      <c r="Y131" s="285">
        <f t="shared" si="17"/>
        <v>150</v>
      </c>
      <c r="Z131" s="295"/>
    </row>
    <row r="132" spans="1:26" ht="25.5" customHeight="1">
      <c r="A132" s="176"/>
      <c r="B132" s="165"/>
      <c r="C132" s="170"/>
      <c r="D132" s="132" t="s">
        <v>3</v>
      </c>
      <c r="E132" s="38">
        <f>13655-166</f>
        <v>13489</v>
      </c>
      <c r="F132" s="29" t="s">
        <v>22</v>
      </c>
      <c r="G132" s="79" t="s">
        <v>443</v>
      </c>
      <c r="H132" s="30"/>
      <c r="I132" s="286" t="s">
        <v>638</v>
      </c>
      <c r="J132" s="274">
        <v>11</v>
      </c>
      <c r="K132" s="305"/>
      <c r="L132" s="322">
        <v>2021</v>
      </c>
      <c r="M132" s="288"/>
      <c r="N132" s="278" t="str">
        <f>VLOOKUP(P132,budget!$A$2:$C$99,3,0)</f>
        <v>აპარატი - მატერ-ტექნიკ.</v>
      </c>
      <c r="O132" s="306"/>
      <c r="P132" s="280" t="s">
        <v>227</v>
      </c>
      <c r="Q132" s="278" t="str">
        <f>VLOOKUP(P132,budget!$A$2:$B$99,2,0)</f>
        <v>ქალაქ ბათუმის მუნიციპალიტეტის მერია</v>
      </c>
      <c r="R132" s="290"/>
      <c r="S132" s="291" t="s">
        <v>507</v>
      </c>
      <c r="T132" s="283">
        <f t="shared" si="16"/>
        <v>13489</v>
      </c>
      <c r="U132" s="283"/>
      <c r="V132" s="283">
        <v>13489</v>
      </c>
      <c r="W132" s="283"/>
      <c r="X132" s="284" t="s">
        <v>496</v>
      </c>
      <c r="Y132" s="285">
        <f t="shared" si="17"/>
        <v>0</v>
      </c>
      <c r="Z132" s="295"/>
    </row>
    <row r="133" spans="1:26" ht="25.5" customHeight="1">
      <c r="A133" s="175"/>
      <c r="B133" s="162"/>
      <c r="C133" s="171"/>
      <c r="D133" s="132" t="s">
        <v>444</v>
      </c>
      <c r="E133" s="38">
        <f>8516-3368</f>
        <v>5148</v>
      </c>
      <c r="F133" s="29" t="s">
        <v>22</v>
      </c>
      <c r="G133" s="79" t="s">
        <v>446</v>
      </c>
      <c r="H133" s="41"/>
      <c r="I133" s="286" t="s">
        <v>641</v>
      </c>
      <c r="J133" s="274">
        <v>11</v>
      </c>
      <c r="K133" s="305"/>
      <c r="L133" s="322">
        <v>2021</v>
      </c>
      <c r="M133" s="288"/>
      <c r="N133" s="278" t="str">
        <f>VLOOKUP(P133,budget!$A$2:$C$99,3,0)</f>
        <v>აპარატი - მატერ-ტექნიკ.</v>
      </c>
      <c r="O133" s="306"/>
      <c r="P133" s="280" t="s">
        <v>227</v>
      </c>
      <c r="Q133" s="278" t="str">
        <f>VLOOKUP(P133,budget!$A$2:$B$99,2,0)</f>
        <v>ქალაქ ბათუმის მუნიციპალიტეტის მერია</v>
      </c>
      <c r="R133" s="290"/>
      <c r="S133" s="291" t="s">
        <v>521</v>
      </c>
      <c r="T133" s="283">
        <f t="shared" si="16"/>
        <v>5148</v>
      </c>
      <c r="U133" s="283"/>
      <c r="V133" s="283">
        <v>5148</v>
      </c>
      <c r="W133" s="283"/>
      <c r="X133" s="284" t="s">
        <v>520</v>
      </c>
      <c r="Y133" s="285">
        <f t="shared" si="17"/>
        <v>0</v>
      </c>
      <c r="Z133" s="295"/>
    </row>
    <row r="134" spans="1:26" ht="24">
      <c r="A134" s="191">
        <v>52</v>
      </c>
      <c r="B134" s="161">
        <v>66500000</v>
      </c>
      <c r="C134" s="169" t="s">
        <v>86</v>
      </c>
      <c r="D134" s="132" t="s">
        <v>335</v>
      </c>
      <c r="E134" s="55">
        <v>4000</v>
      </c>
      <c r="F134" s="45" t="s">
        <v>100</v>
      </c>
      <c r="G134" s="46" t="s">
        <v>443</v>
      </c>
      <c r="H134" s="47"/>
      <c r="I134" s="273"/>
      <c r="J134" s="274">
        <v>1</v>
      </c>
      <c r="K134" s="275"/>
      <c r="L134" s="276">
        <v>2021</v>
      </c>
      <c r="M134" s="292"/>
      <c r="N134" s="278" t="str">
        <f>VLOOKUP(P134,budget!$A$2:$C$99,3,0)</f>
        <v xml:space="preserve">საკრებულო - აპარატი </v>
      </c>
      <c r="O134" s="279"/>
      <c r="P134" s="289" t="s">
        <v>325</v>
      </c>
      <c r="Q134" s="278" t="str">
        <f>VLOOKUP(P134,budget!$A$2:$B$99,2,0)</f>
        <v>ქალაქ ბათუმის მუნიციპალიტეტის საკრებულო</v>
      </c>
      <c r="R134" s="281"/>
      <c r="S134" s="296" t="s">
        <v>508</v>
      </c>
      <c r="T134" s="294">
        <f>SUBTOTAL(9,U134:V134)</f>
        <v>3239.36</v>
      </c>
      <c r="U134" s="294"/>
      <c r="V134" s="294">
        <v>3239.36</v>
      </c>
      <c r="X134" s="297" t="s">
        <v>506</v>
      </c>
      <c r="Y134" s="285">
        <f t="shared" si="17"/>
        <v>760.63999999999987</v>
      </c>
      <c r="Z134" s="295"/>
    </row>
    <row r="135" spans="1:26" ht="24">
      <c r="A135" s="192"/>
      <c r="B135" s="162"/>
      <c r="C135" s="171"/>
      <c r="D135" s="60" t="s">
        <v>101</v>
      </c>
      <c r="E135" s="38">
        <v>7000</v>
      </c>
      <c r="F135" s="45" t="s">
        <v>100</v>
      </c>
      <c r="G135" s="46" t="s">
        <v>443</v>
      </c>
      <c r="H135" s="47"/>
      <c r="I135" s="273"/>
      <c r="J135" s="274">
        <v>1</v>
      </c>
      <c r="K135" s="287"/>
      <c r="L135" s="288">
        <v>2021</v>
      </c>
      <c r="M135" s="288"/>
      <c r="N135" s="278" t="str">
        <f>VLOOKUP(P135,budget!$A$2:$C$99,3,0)</f>
        <v>აპარატი - მატერ-ტექნიკ.</v>
      </c>
      <c r="O135" s="306"/>
      <c r="P135" s="280" t="s">
        <v>227</v>
      </c>
      <c r="Q135" s="278" t="str">
        <f>VLOOKUP(P135,budget!$A$2:$B$99,2,0)</f>
        <v>ქალაქ ბათუმის მუნიციპალიტეტის მერია</v>
      </c>
      <c r="R135" s="281"/>
      <c r="S135" s="291" t="s">
        <v>509</v>
      </c>
      <c r="T135" s="283">
        <f t="shared" si="16"/>
        <v>3671.84</v>
      </c>
      <c r="U135" s="283"/>
      <c r="V135" s="283">
        <v>3671.84</v>
      </c>
      <c r="W135" s="283"/>
      <c r="X135" s="284" t="s">
        <v>506</v>
      </c>
      <c r="Y135" s="285">
        <f t="shared" si="17"/>
        <v>3328.16</v>
      </c>
      <c r="Z135" s="295"/>
    </row>
    <row r="136" spans="1:26" ht="28.5" customHeight="1">
      <c r="A136" s="174">
        <v>53</v>
      </c>
      <c r="B136" s="161">
        <v>71300000</v>
      </c>
      <c r="C136" s="169" t="s">
        <v>392</v>
      </c>
      <c r="D136" s="60" t="s">
        <v>462</v>
      </c>
      <c r="E136" s="38">
        <v>19925</v>
      </c>
      <c r="F136" s="81" t="s">
        <v>22</v>
      </c>
      <c r="G136" s="84" t="s">
        <v>443</v>
      </c>
      <c r="H136" s="82"/>
      <c r="I136" s="333" t="s">
        <v>461</v>
      </c>
      <c r="J136" s="274">
        <v>2</v>
      </c>
      <c r="K136" s="287"/>
      <c r="L136" s="288">
        <v>2021</v>
      </c>
      <c r="M136" s="288"/>
      <c r="N136" s="278" t="str">
        <f>VLOOKUP(P136,[13]budget!$A$2:$C$104,3,0)</f>
        <v>ეკონომიკური</v>
      </c>
      <c r="O136" s="279"/>
      <c r="P136" s="289" t="s">
        <v>342</v>
      </c>
      <c r="Q136" s="278" t="str">
        <f>VLOOKUP(P136,[13]budget!$A$2:$B$104,2,0)</f>
        <v>თვითმმართველობის საკუთრებაში არსებული ქონების მართვა</v>
      </c>
      <c r="R136" s="290"/>
      <c r="S136" s="282" t="s">
        <v>555</v>
      </c>
      <c r="T136" s="283"/>
      <c r="U136" s="283"/>
      <c r="V136" s="283">
        <v>19920</v>
      </c>
      <c r="X136" s="284" t="s">
        <v>554</v>
      </c>
      <c r="Y136" s="285">
        <f t="shared" si="17"/>
        <v>5</v>
      </c>
      <c r="Z136" s="295"/>
    </row>
    <row r="137" spans="1:26" ht="44.25" customHeight="1">
      <c r="A137" s="176"/>
      <c r="B137" s="162"/>
      <c r="C137" s="171"/>
      <c r="D137" s="60" t="s">
        <v>457</v>
      </c>
      <c r="E137" s="38">
        <v>10000</v>
      </c>
      <c r="F137" s="29" t="s">
        <v>22</v>
      </c>
      <c r="G137" s="79" t="s">
        <v>438</v>
      </c>
      <c r="H137" s="30" t="str">
        <f>IF(L137=2018,M137,CONCATENATE(M137," მრავალწ. შესყიდ. ",L137," წ.წ. - შესყიდვის საერთო თანხა ",K137))</f>
        <v xml:space="preserve"> მრავალწ. შესყიდ. 2016-2020 წ.წ. - შესყიდვის საერთო თანხა 35000</v>
      </c>
      <c r="I137" s="273"/>
      <c r="J137" s="274">
        <v>1</v>
      </c>
      <c r="K137" s="287">
        <v>35000</v>
      </c>
      <c r="L137" s="276" t="s">
        <v>437</v>
      </c>
      <c r="M137" s="288"/>
      <c r="N137" s="278" t="str">
        <f>VLOOKUP(P137,[13]budget!$A$2:$C$104,3,0)</f>
        <v>კეთილმოწყობა</v>
      </c>
      <c r="O137" s="279"/>
      <c r="P137" s="289" t="s">
        <v>166</v>
      </c>
      <c r="Q137" s="278" t="str">
        <f>VLOOKUP(P137,[13]budget!$A$2:$B$104,2,0)</f>
        <v>საგზაო ინფრასტრუქტურის რეაბილიტაცია და კაპიტალური მშენებლობა</v>
      </c>
      <c r="R137" s="290"/>
      <c r="S137" s="282"/>
      <c r="T137" s="283">
        <f t="shared" si="16"/>
        <v>0</v>
      </c>
      <c r="U137" s="283"/>
      <c r="V137" s="283"/>
      <c r="W137" s="283"/>
      <c r="X137" s="284"/>
      <c r="Y137" s="285" t="str">
        <f t="shared" si="17"/>
        <v>-</v>
      </c>
      <c r="Z137" s="295"/>
    </row>
    <row r="138" spans="1:26" ht="64.5" customHeight="1">
      <c r="A138" s="75">
        <v>54</v>
      </c>
      <c r="B138" s="96">
        <v>71400000</v>
      </c>
      <c r="C138" s="76" t="s">
        <v>440</v>
      </c>
      <c r="D138" s="60" t="s">
        <v>441</v>
      </c>
      <c r="E138" s="38">
        <v>1250000</v>
      </c>
      <c r="F138" s="29" t="s">
        <v>39</v>
      </c>
      <c r="G138" s="79" t="s">
        <v>443</v>
      </c>
      <c r="H138" s="30" t="str">
        <f>IF(L138=2018,M138,CONCATENATE(M138," მრავალწ. შესყიდ. ",L138," წ.წ. - შესყიდვის საერთო თანხა ",K138))</f>
        <v xml:space="preserve"> მრავალწ. შესყიდ. 2020-2022 წ.წ. - შესყიდვის საერთო თანხა 2500000</v>
      </c>
      <c r="I138" s="273"/>
      <c r="J138" s="274">
        <v>1</v>
      </c>
      <c r="K138" s="287">
        <v>2500000</v>
      </c>
      <c r="L138" s="276" t="s">
        <v>458</v>
      </c>
      <c r="M138" s="288"/>
      <c r="N138" s="278" t="s">
        <v>207</v>
      </c>
      <c r="O138" s="279"/>
      <c r="P138" s="289" t="s">
        <v>264</v>
      </c>
      <c r="Q138" s="278" t="s">
        <v>442</v>
      </c>
      <c r="R138" s="290"/>
      <c r="S138" s="282" t="s">
        <v>700</v>
      </c>
      <c r="T138" s="283"/>
      <c r="U138" s="283"/>
      <c r="V138" s="283">
        <v>2495700</v>
      </c>
      <c r="W138" s="283"/>
      <c r="X138" s="284" t="s">
        <v>701</v>
      </c>
      <c r="Y138" s="285">
        <f t="shared" si="17"/>
        <v>-1245700</v>
      </c>
      <c r="Z138" s="295"/>
    </row>
    <row r="139" spans="1:26" ht="26.25" customHeight="1">
      <c r="A139" s="174">
        <v>55</v>
      </c>
      <c r="B139" s="161">
        <v>71600000</v>
      </c>
      <c r="C139" s="169" t="s">
        <v>321</v>
      </c>
      <c r="D139" s="135" t="s">
        <v>362</v>
      </c>
      <c r="E139" s="38">
        <v>600</v>
      </c>
      <c r="F139" s="29" t="s">
        <v>28</v>
      </c>
      <c r="G139" s="134" t="s">
        <v>446</v>
      </c>
      <c r="H139" s="30" t="str">
        <f>M139</f>
        <v>მე-10(1) მუხლ. მე-3 პუნქ. ”ზ” ქვეპ.</v>
      </c>
      <c r="I139" s="300"/>
      <c r="J139" s="274">
        <v>1</v>
      </c>
      <c r="K139" s="301"/>
      <c r="L139" s="276">
        <v>2021</v>
      </c>
      <c r="M139" s="288" t="s">
        <v>60</v>
      </c>
      <c r="N139" s="278" t="str">
        <f>VLOOKUP(P139,budget!$A$2:$C$99,3,0)</f>
        <v xml:space="preserve">საკრებულო - აპარატი </v>
      </c>
      <c r="O139" s="279"/>
      <c r="P139" s="289" t="s">
        <v>325</v>
      </c>
      <c r="Q139" s="278" t="str">
        <f>VLOOKUP(P139,budget!$A$2:$B$99,2,0)</f>
        <v>ქალაქ ბათუმის მუნიციპალიტეტის საკრებულო</v>
      </c>
      <c r="R139" s="290"/>
      <c r="S139" s="282"/>
      <c r="T139" s="283"/>
      <c r="U139" s="283"/>
      <c r="V139" s="283"/>
      <c r="W139" s="283"/>
      <c r="X139" s="284"/>
      <c r="Y139" s="285" t="str">
        <f t="shared" ref="Y139:Y140" si="31">IF(V139=0,"-",E139-V139)</f>
        <v>-</v>
      </c>
      <c r="Z139" s="295"/>
    </row>
    <row r="140" spans="1:26" ht="26.25" customHeight="1">
      <c r="A140" s="176"/>
      <c r="B140" s="165"/>
      <c r="C140" s="170"/>
      <c r="D140" s="152" t="s">
        <v>631</v>
      </c>
      <c r="E140" s="38">
        <v>900</v>
      </c>
      <c r="F140" s="29" t="s">
        <v>28</v>
      </c>
      <c r="G140" s="156" t="s">
        <v>447</v>
      </c>
      <c r="H140" s="30" t="str">
        <f>M140</f>
        <v>მე-10(1) მუხლ. მე-3 პუნქ. ”ზ” ქვეპ.</v>
      </c>
      <c r="I140" s="300" t="s">
        <v>461</v>
      </c>
      <c r="J140" s="274">
        <v>9</v>
      </c>
      <c r="K140" s="301"/>
      <c r="L140" s="276">
        <v>2021</v>
      </c>
      <c r="M140" s="288" t="s">
        <v>60</v>
      </c>
      <c r="N140" s="278" t="str">
        <f>VLOOKUP(P140,budget!$A$2:$C$99,3,0)</f>
        <v>აპარატი - მატერ-ტექნიკ.</v>
      </c>
      <c r="O140" s="279"/>
      <c r="P140" s="289" t="s">
        <v>227</v>
      </c>
      <c r="Q140" s="278" t="str">
        <f>VLOOKUP(P140,budget!$A$2:$B$99,2,0)</f>
        <v>ქალაქ ბათუმის მუნიციპალიტეტის მერია</v>
      </c>
      <c r="R140" s="290"/>
      <c r="S140" s="282" t="s">
        <v>689</v>
      </c>
      <c r="T140" s="283"/>
      <c r="U140" s="283"/>
      <c r="V140" s="283">
        <v>900</v>
      </c>
      <c r="W140" s="283"/>
      <c r="X140" s="284" t="s">
        <v>690</v>
      </c>
      <c r="Y140" s="285">
        <f t="shared" si="31"/>
        <v>0</v>
      </c>
      <c r="Z140" s="295"/>
    </row>
    <row r="141" spans="1:26" ht="26.25" customHeight="1">
      <c r="A141" s="175"/>
      <c r="B141" s="162"/>
      <c r="C141" s="171"/>
      <c r="D141" s="132" t="s">
        <v>631</v>
      </c>
      <c r="E141" s="38">
        <v>60</v>
      </c>
      <c r="F141" s="29" t="s">
        <v>28</v>
      </c>
      <c r="G141" s="79" t="s">
        <v>448</v>
      </c>
      <c r="H141" s="30" t="str">
        <f>M141</f>
        <v>მე-10(1) მუხლ. მე-3 პუნქ. ”ზ” ქვეპ.</v>
      </c>
      <c r="I141" s="300" t="s">
        <v>461</v>
      </c>
      <c r="J141" s="274">
        <v>14</v>
      </c>
      <c r="K141" s="301"/>
      <c r="L141" s="276">
        <v>2021</v>
      </c>
      <c r="M141" s="288" t="s">
        <v>60</v>
      </c>
      <c r="N141" s="278" t="str">
        <f>VLOOKUP(P141,budget!$A$2:$C$99,3,0)</f>
        <v>აპარატი - მატერ-ტექნიკ.</v>
      </c>
      <c r="O141" s="279"/>
      <c r="P141" s="289" t="s">
        <v>227</v>
      </c>
      <c r="Q141" s="278" t="str">
        <f>VLOOKUP(P141,budget!$A$2:$B$99,2,0)</f>
        <v>ქალაქ ბათუმის მუნიციპალიტეტის მერია</v>
      </c>
      <c r="R141" s="290"/>
      <c r="S141" s="282"/>
      <c r="T141" s="283"/>
      <c r="U141" s="283"/>
      <c r="V141" s="283"/>
      <c r="W141" s="283"/>
      <c r="X141" s="284"/>
      <c r="Y141" s="285" t="str">
        <f t="shared" si="17"/>
        <v>-</v>
      </c>
      <c r="Z141" s="295"/>
    </row>
    <row r="142" spans="1:26" ht="31.5" customHeight="1">
      <c r="A142" s="63">
        <v>56</v>
      </c>
      <c r="B142" s="90">
        <v>71900000</v>
      </c>
      <c r="C142" s="103" t="s">
        <v>4</v>
      </c>
      <c r="D142" s="132" t="s">
        <v>150</v>
      </c>
      <c r="E142" s="38">
        <v>94990</v>
      </c>
      <c r="F142" s="41" t="s">
        <v>22</v>
      </c>
      <c r="G142" s="31" t="s">
        <v>443</v>
      </c>
      <c r="H142" s="30"/>
      <c r="I142" s="300"/>
      <c r="J142" s="274">
        <v>1</v>
      </c>
      <c r="K142" s="301"/>
      <c r="L142" s="276">
        <v>2021</v>
      </c>
      <c r="M142" s="292"/>
      <c r="N142" s="278" t="str">
        <f>VLOOKUP(P142,budget!$A$2:$C$99,3,0)</f>
        <v>სანიტარული</v>
      </c>
      <c r="O142" s="279"/>
      <c r="P142" s="280" t="s">
        <v>210</v>
      </c>
      <c r="Q142" s="278" t="str">
        <f>VLOOKUP(P142,budget!$A$2:$B$99,2,0)</f>
        <v>ბათუმის ტერიტორიაზე არსებული დაწესებულებების სანიტარული მონიტორინგი</v>
      </c>
      <c r="R142" s="290"/>
      <c r="S142" s="282" t="s">
        <v>530</v>
      </c>
      <c r="T142" s="283">
        <f>SUBTOTAL(9,U142:V142)</f>
        <v>94990</v>
      </c>
      <c r="U142" s="283"/>
      <c r="V142" s="283">
        <v>94990</v>
      </c>
      <c r="X142" s="284" t="s">
        <v>531</v>
      </c>
      <c r="Y142" s="285">
        <f t="shared" si="17"/>
        <v>0</v>
      </c>
      <c r="Z142" s="295"/>
    </row>
    <row r="143" spans="1:26" ht="34.5" customHeight="1">
      <c r="A143" s="40">
        <v>57</v>
      </c>
      <c r="B143" s="90">
        <v>72300000</v>
      </c>
      <c r="C143" s="103" t="s">
        <v>87</v>
      </c>
      <c r="D143" s="132" t="s">
        <v>336</v>
      </c>
      <c r="E143" s="38">
        <v>35000</v>
      </c>
      <c r="F143" s="29" t="s">
        <v>28</v>
      </c>
      <c r="G143" s="79" t="s">
        <v>446</v>
      </c>
      <c r="H143" s="30" t="str">
        <f>M143</f>
        <v>მე-10(1) მუხლ. მე-3 პუნქ. ”ზ” ქვეპ.</v>
      </c>
      <c r="I143" s="286">
        <v>-5000</v>
      </c>
      <c r="J143" s="274">
        <v>1</v>
      </c>
      <c r="K143" s="275"/>
      <c r="L143" s="276">
        <v>2021</v>
      </c>
      <c r="M143" s="288" t="s">
        <v>60</v>
      </c>
      <c r="N143" s="278" t="str">
        <f>VLOOKUP(P143,budget!$A$2:$C$99,3,0)</f>
        <v xml:space="preserve">საკრებულო - აპარატი </v>
      </c>
      <c r="O143" s="279"/>
      <c r="P143" s="280" t="s">
        <v>325</v>
      </c>
      <c r="Q143" s="278" t="str">
        <f>VLOOKUP(P143,budget!$A$2:$B$99,2,0)</f>
        <v>ქალაქ ბათუმის მუნიციპალიტეტის საკრებულო</v>
      </c>
      <c r="R143" s="290"/>
      <c r="S143" s="282"/>
      <c r="T143" s="283">
        <f t="shared" ref="T143:T183" si="32">SUBTOTAL(9,U143:W143)</f>
        <v>0</v>
      </c>
      <c r="U143" s="283"/>
      <c r="V143" s="283"/>
      <c r="W143" s="283"/>
      <c r="X143" s="284"/>
      <c r="Y143" s="285" t="str">
        <f t="shared" si="17"/>
        <v>-</v>
      </c>
      <c r="Z143" s="295"/>
    </row>
    <row r="144" spans="1:26" ht="25.5" customHeight="1">
      <c r="A144" s="159">
        <v>58</v>
      </c>
      <c r="B144" s="160">
        <v>72400000</v>
      </c>
      <c r="C144" s="177" t="s">
        <v>14</v>
      </c>
      <c r="D144" s="132" t="s">
        <v>140</v>
      </c>
      <c r="E144" s="38">
        <f>8640+6360-7800</f>
        <v>7200</v>
      </c>
      <c r="F144" s="29" t="s">
        <v>28</v>
      </c>
      <c r="G144" s="79" t="s">
        <v>446</v>
      </c>
      <c r="H144" s="14" t="s">
        <v>58</v>
      </c>
      <c r="I144" s="273" t="s">
        <v>467</v>
      </c>
      <c r="J144" s="274">
        <v>3</v>
      </c>
      <c r="K144" s="305"/>
      <c r="L144" s="276">
        <v>2021</v>
      </c>
      <c r="M144" s="288" t="s">
        <v>58</v>
      </c>
      <c r="N144" s="278" t="str">
        <f>VLOOKUP(P144,budget!$A$2:$C$99,3,0)</f>
        <v>აპარატი - მატერ-ტექნიკ.</v>
      </c>
      <c r="O144" s="288"/>
      <c r="P144" s="280" t="s">
        <v>227</v>
      </c>
      <c r="Q144" s="278" t="str">
        <f>VLOOKUP(P144,budget!$A$2:$B$99,2,0)</f>
        <v>ქალაქ ბათუმის მუნიციპალიტეტის მერია</v>
      </c>
      <c r="R144" s="290"/>
      <c r="S144" s="291" t="s">
        <v>498</v>
      </c>
      <c r="T144" s="283">
        <f t="shared" si="32"/>
        <v>7200</v>
      </c>
      <c r="U144" s="283"/>
      <c r="V144" s="283">
        <v>7200</v>
      </c>
      <c r="W144" s="283"/>
      <c r="X144" s="284" t="s">
        <v>496</v>
      </c>
      <c r="Y144" s="285">
        <f t="shared" si="17"/>
        <v>0</v>
      </c>
      <c r="Z144" s="295"/>
    </row>
    <row r="145" spans="1:26" ht="25.5" customHeight="1">
      <c r="A145" s="159"/>
      <c r="B145" s="160"/>
      <c r="C145" s="177"/>
      <c r="D145" s="132" t="s">
        <v>465</v>
      </c>
      <c r="E145" s="38">
        <f>660+5820</f>
        <v>6480</v>
      </c>
      <c r="F145" s="29" t="s">
        <v>22</v>
      </c>
      <c r="G145" s="79" t="s">
        <v>446</v>
      </c>
      <c r="H145" s="30"/>
      <c r="I145" s="286" t="s">
        <v>466</v>
      </c>
      <c r="J145" s="274">
        <v>3</v>
      </c>
      <c r="K145" s="305"/>
      <c r="L145" s="276">
        <v>2021</v>
      </c>
      <c r="M145" s="288"/>
      <c r="N145" s="278" t="str">
        <f>VLOOKUP(P145,budget!$A$2:$C$99,3,0)</f>
        <v>აპარატი - მატერ-ტექნიკ.</v>
      </c>
      <c r="O145" s="279"/>
      <c r="P145" s="280" t="s">
        <v>227</v>
      </c>
      <c r="Q145" s="278" t="str">
        <f>VLOOKUP(P145,budget!$A$2:$B$99,2,0)</f>
        <v>ქალაქ ბათუმის მუნიციპალიტეტის მერია</v>
      </c>
      <c r="R145" s="290"/>
      <c r="S145" s="291" t="s">
        <v>525</v>
      </c>
      <c r="T145" s="283">
        <f t="shared" si="32"/>
        <v>6479.99</v>
      </c>
      <c r="U145" s="283"/>
      <c r="V145" s="283">
        <v>6479.99</v>
      </c>
      <c r="W145" s="283"/>
      <c r="X145" s="284" t="s">
        <v>524</v>
      </c>
      <c r="Y145" s="285">
        <f t="shared" si="17"/>
        <v>1.0000000000218279E-2</v>
      </c>
      <c r="Z145" s="295"/>
    </row>
    <row r="146" spans="1:26" ht="39" customHeight="1">
      <c r="A146" s="159"/>
      <c r="B146" s="160"/>
      <c r="C146" s="177"/>
      <c r="D146" s="132" t="s">
        <v>320</v>
      </c>
      <c r="E146" s="38">
        <v>30</v>
      </c>
      <c r="F146" s="29" t="s">
        <v>28</v>
      </c>
      <c r="G146" s="79" t="s">
        <v>447</v>
      </c>
      <c r="H146" s="30" t="s">
        <v>456</v>
      </c>
      <c r="I146" s="286"/>
      <c r="J146" s="274">
        <v>1</v>
      </c>
      <c r="K146" s="305"/>
      <c r="L146" s="276">
        <v>2021</v>
      </c>
      <c r="M146" s="288"/>
      <c r="N146" s="278" t="str">
        <f>VLOOKUP(P146,budget!$A$2:$C$99,3,0)</f>
        <v>აპარატი - IT</v>
      </c>
      <c r="O146" s="306"/>
      <c r="P146" s="280" t="s">
        <v>228</v>
      </c>
      <c r="Q146" s="278" t="str">
        <f>VLOOKUP(P146,budget!$A$2:$B$99,2,0)</f>
        <v>ქალაქ ბათუმის მუნიციპალიტეტის მერია</v>
      </c>
      <c r="R146" s="290"/>
      <c r="S146" s="291" t="s">
        <v>684</v>
      </c>
      <c r="T146" s="283"/>
      <c r="U146" s="283"/>
      <c r="V146" s="283">
        <v>30</v>
      </c>
      <c r="W146" s="283"/>
      <c r="X146" s="284" t="s">
        <v>524</v>
      </c>
      <c r="Y146" s="285">
        <f t="shared" si="17"/>
        <v>0</v>
      </c>
      <c r="Z146" s="295"/>
    </row>
    <row r="147" spans="1:26" ht="41.25" customHeight="1">
      <c r="A147" s="159"/>
      <c r="B147" s="160"/>
      <c r="C147" s="177"/>
      <c r="D147" s="132" t="s">
        <v>341</v>
      </c>
      <c r="E147" s="38">
        <v>40</v>
      </c>
      <c r="F147" s="29" t="s">
        <v>28</v>
      </c>
      <c r="G147" s="79" t="s">
        <v>446</v>
      </c>
      <c r="H147" s="30" t="s">
        <v>456</v>
      </c>
      <c r="I147" s="286"/>
      <c r="J147" s="274">
        <v>1</v>
      </c>
      <c r="K147" s="305"/>
      <c r="L147" s="276">
        <v>2021</v>
      </c>
      <c r="M147" s="288"/>
      <c r="N147" s="278" t="str">
        <f>budget!C18</f>
        <v>საკრებულო</v>
      </c>
      <c r="O147" s="306"/>
      <c r="P147" s="280" t="s">
        <v>329</v>
      </c>
      <c r="Q147" s="278" t="str">
        <f>budget!B18</f>
        <v>ქალაქ ბათუმის მუნიციპალიტეტის საკრებულო</v>
      </c>
      <c r="R147" s="290"/>
      <c r="S147" s="291" t="s">
        <v>612</v>
      </c>
      <c r="T147" s="283">
        <f t="shared" ref="T147" si="33">SUBTOTAL(9,U147:W147)</f>
        <v>30</v>
      </c>
      <c r="U147" s="283"/>
      <c r="V147" s="283">
        <v>30</v>
      </c>
      <c r="W147" s="283"/>
      <c r="X147" s="284" t="s">
        <v>524</v>
      </c>
      <c r="Y147" s="285">
        <f t="shared" si="17"/>
        <v>10</v>
      </c>
      <c r="Z147" s="295"/>
    </row>
    <row r="148" spans="1:26" ht="27" customHeight="1">
      <c r="A148" s="159"/>
      <c r="B148" s="160"/>
      <c r="C148" s="177"/>
      <c r="D148" s="60" t="s">
        <v>250</v>
      </c>
      <c r="E148" s="38">
        <v>2400</v>
      </c>
      <c r="F148" s="29" t="s">
        <v>28</v>
      </c>
      <c r="G148" s="31" t="s">
        <v>443</v>
      </c>
      <c r="H148" s="30" t="str">
        <f>M148</f>
        <v>მე-10(1) მუხლ. მე-3 პუნქ. ”დ” ქვეპ.</v>
      </c>
      <c r="I148" s="329" t="s">
        <v>594</v>
      </c>
      <c r="J148" s="274">
        <v>6</v>
      </c>
      <c r="K148" s="287"/>
      <c r="L148" s="276">
        <v>2021</v>
      </c>
      <c r="M148" s="288" t="s">
        <v>58</v>
      </c>
      <c r="N148" s="278" t="str">
        <f>VLOOKUP(P148,[14]budget!$A$2:$C$99,3,0)</f>
        <v>ახალგაზ. და სპორტი</v>
      </c>
      <c r="O148" s="279"/>
      <c r="P148" s="279" t="s">
        <v>316</v>
      </c>
      <c r="Q148" s="278" t="str">
        <f>VLOOKUP(P148,[14]budget!$A$2:$B$99,2,0)</f>
        <v>ახალგაზრდული ცენტრი</v>
      </c>
      <c r="R148" s="334"/>
      <c r="S148" s="282" t="s">
        <v>616</v>
      </c>
      <c r="T148" s="283">
        <f t="shared" si="32"/>
        <v>1800</v>
      </c>
      <c r="U148" s="283"/>
      <c r="V148" s="283">
        <v>1800</v>
      </c>
      <c r="W148" s="283"/>
      <c r="X148" s="284" t="s">
        <v>617</v>
      </c>
      <c r="Y148" s="285">
        <f t="shared" si="17"/>
        <v>600</v>
      </c>
      <c r="Z148" s="295"/>
    </row>
    <row r="149" spans="1:26" ht="33.75" customHeight="1">
      <c r="A149" s="174">
        <v>59</v>
      </c>
      <c r="B149" s="183">
        <v>75100000</v>
      </c>
      <c r="C149" s="169" t="s">
        <v>380</v>
      </c>
      <c r="D149" s="132" t="s">
        <v>388</v>
      </c>
      <c r="E149" s="38">
        <f>1200+1800</f>
        <v>3000</v>
      </c>
      <c r="F149" s="29" t="s">
        <v>28</v>
      </c>
      <c r="G149" s="79" t="s">
        <v>446</v>
      </c>
      <c r="H149" s="30" t="str">
        <f>M149</f>
        <v>მე-10(1) მუხლ. მე-3 პუნქ. ”ზ” ქვეპ.</v>
      </c>
      <c r="I149" s="300" t="s">
        <v>599</v>
      </c>
      <c r="J149" s="274">
        <v>6</v>
      </c>
      <c r="K149" s="287"/>
      <c r="L149" s="276">
        <v>2021</v>
      </c>
      <c r="M149" s="276" t="s">
        <v>60</v>
      </c>
      <c r="N149" s="278" t="str">
        <f>VLOOKUP(P149,[15]budget!$A$2:$C$104,3,0)</f>
        <v>აპარატი - შესყიდვები</v>
      </c>
      <c r="O149" s="279"/>
      <c r="P149" s="289" t="s">
        <v>243</v>
      </c>
      <c r="Q149" s="278" t="str">
        <f>VLOOKUP(P149,[15]budget!$A$2:$B$104,2,0)</f>
        <v>ქალაქ ბათუმის მუნიციპალიტეტის მერია</v>
      </c>
      <c r="R149" s="281"/>
      <c r="S149" s="291"/>
      <c r="T149" s="283">
        <f t="shared" si="32"/>
        <v>0</v>
      </c>
      <c r="U149" s="283"/>
      <c r="V149" s="283"/>
      <c r="W149" s="283"/>
      <c r="X149" s="284"/>
      <c r="Y149" s="285" t="str">
        <f t="shared" si="17"/>
        <v>-</v>
      </c>
      <c r="Z149" s="295"/>
    </row>
    <row r="150" spans="1:26" ht="33.75" customHeight="1">
      <c r="A150" s="176"/>
      <c r="B150" s="190"/>
      <c r="C150" s="170"/>
      <c r="D150" s="132" t="s">
        <v>439</v>
      </c>
      <c r="E150" s="38">
        <v>245</v>
      </c>
      <c r="F150" s="29" t="s">
        <v>28</v>
      </c>
      <c r="G150" s="79" t="s">
        <v>446</v>
      </c>
      <c r="H150" s="30" t="str">
        <f>M150</f>
        <v>მე-10(1) მუხლ. მე-3 პუნქ. ”ზ” ქვეპ.</v>
      </c>
      <c r="I150" s="300"/>
      <c r="J150" s="274">
        <v>1</v>
      </c>
      <c r="K150" s="287"/>
      <c r="L150" s="276">
        <v>2021</v>
      </c>
      <c r="M150" s="276" t="s">
        <v>60</v>
      </c>
      <c r="N150" s="278" t="str">
        <f>VLOOKUP(P150,[6]budget!$A$2:$C$104,3,0)</f>
        <v>საკრებულო</v>
      </c>
      <c r="O150" s="279"/>
      <c r="P150" s="289" t="s">
        <v>325</v>
      </c>
      <c r="Q150" s="278" t="str">
        <f>VLOOKUP(P150,[6]budget!$A$2:$B$104,2,0)</f>
        <v>ქალაქ ბათუმის მუნიციპალიტეტის საკრებულო</v>
      </c>
      <c r="R150" s="281"/>
      <c r="S150" s="282"/>
      <c r="T150" s="307">
        <f t="shared" si="32"/>
        <v>0</v>
      </c>
      <c r="U150" s="307"/>
      <c r="V150" s="283"/>
      <c r="W150" s="283"/>
      <c r="X150" s="284"/>
      <c r="Y150" s="285" t="str">
        <f t="shared" si="17"/>
        <v>-</v>
      </c>
      <c r="Z150" s="295"/>
    </row>
    <row r="151" spans="1:26" ht="23.25" customHeight="1">
      <c r="A151" s="175"/>
      <c r="B151" s="184"/>
      <c r="C151" s="171"/>
      <c r="D151" s="132" t="s">
        <v>165</v>
      </c>
      <c r="E151" s="38">
        <v>1200</v>
      </c>
      <c r="F151" s="29" t="s">
        <v>28</v>
      </c>
      <c r="G151" s="79" t="s">
        <v>446</v>
      </c>
      <c r="H151" s="30" t="str">
        <f>M151</f>
        <v>მე-10(1) მუხლ. მე-3 პუნქ. ”ზ” ქვეპ.</v>
      </c>
      <c r="I151" s="300"/>
      <c r="J151" s="274">
        <v>1</v>
      </c>
      <c r="K151" s="287"/>
      <c r="L151" s="276">
        <v>2021</v>
      </c>
      <c r="M151" s="276" t="s">
        <v>60</v>
      </c>
      <c r="N151" s="278" t="str">
        <f>VLOOKUP(P151,budget!$A$2:$C$99,3,0)</f>
        <v>აპარატი - მატერ-ტექნიკ.</v>
      </c>
      <c r="O151" s="279" t="s">
        <v>55</v>
      </c>
      <c r="P151" s="289" t="s">
        <v>227</v>
      </c>
      <c r="Q151" s="278" t="str">
        <f>VLOOKUP(P151,budget!$A$2:$B$99,2,0)</f>
        <v>ქალაქ ბათუმის მუნიციპალიტეტის მერია</v>
      </c>
      <c r="R151" s="281"/>
      <c r="S151" s="291"/>
      <c r="T151" s="283">
        <f t="shared" si="32"/>
        <v>0</v>
      </c>
      <c r="U151" s="283"/>
      <c r="V151" s="283"/>
      <c r="W151" s="283"/>
      <c r="X151" s="284"/>
      <c r="Y151" s="285" t="str">
        <f t="shared" si="17"/>
        <v>-</v>
      </c>
      <c r="Z151" s="295"/>
    </row>
    <row r="152" spans="1:26" ht="57.75" customHeight="1">
      <c r="A152" s="107">
        <v>60</v>
      </c>
      <c r="B152" s="110">
        <v>79300000</v>
      </c>
      <c r="C152" s="109" t="s">
        <v>474</v>
      </c>
      <c r="D152" s="132" t="s">
        <v>480</v>
      </c>
      <c r="E152" s="38">
        <f>48000-21500</f>
        <v>26500</v>
      </c>
      <c r="F152" s="29" t="s">
        <v>22</v>
      </c>
      <c r="G152" s="31" t="s">
        <v>446</v>
      </c>
      <c r="H152" s="30"/>
      <c r="I152" s="279" t="s">
        <v>653</v>
      </c>
      <c r="J152" s="274">
        <v>11</v>
      </c>
      <c r="K152" s="287"/>
      <c r="L152" s="288">
        <v>2021</v>
      </c>
      <c r="M152" s="288"/>
      <c r="N152" s="278" t="str">
        <f>VLOOKUP(P152,budget!$A$2:$C$99,3,0)</f>
        <v>ჯანდაცვა</v>
      </c>
      <c r="O152" s="306"/>
      <c r="P152" s="289" t="s">
        <v>475</v>
      </c>
      <c r="Q152" s="278" t="str">
        <f>VLOOKUP(P152,budget!$A$2:$B$99,2,0)</f>
        <v>საცხოვრებელი სახლების მშენებლობა</v>
      </c>
      <c r="R152" s="281"/>
      <c r="S152" s="282" t="s">
        <v>608</v>
      </c>
      <c r="T152" s="307"/>
      <c r="U152" s="323"/>
      <c r="V152" s="283">
        <v>26500</v>
      </c>
      <c r="W152" s="283"/>
      <c r="X152" s="335" t="s">
        <v>607</v>
      </c>
      <c r="Y152" s="285">
        <f t="shared" si="17"/>
        <v>0</v>
      </c>
      <c r="Z152" s="295"/>
    </row>
    <row r="153" spans="1:26" ht="24">
      <c r="A153" s="127">
        <v>61</v>
      </c>
      <c r="B153" s="128">
        <v>79500000</v>
      </c>
      <c r="C153" s="126" t="s">
        <v>595</v>
      </c>
      <c r="D153" s="132" t="s">
        <v>596</v>
      </c>
      <c r="E153" s="38">
        <v>2400</v>
      </c>
      <c r="F153" s="29" t="s">
        <v>28</v>
      </c>
      <c r="G153" s="125" t="s">
        <v>447</v>
      </c>
      <c r="H153" s="30" t="str">
        <f>M153</f>
        <v>მე-3 მუხ. 1-ლი პუნქ. "ს" ქვეპუნ.</v>
      </c>
      <c r="I153" s="279" t="s">
        <v>461</v>
      </c>
      <c r="J153" s="274">
        <v>6</v>
      </c>
      <c r="K153" s="301"/>
      <c r="L153" s="276">
        <v>2021</v>
      </c>
      <c r="M153" s="288" t="s">
        <v>29</v>
      </c>
      <c r="N153" s="278" t="str">
        <f>VLOOKUP(P153,[14]budget!$A$2:$C$99,3,0)</f>
        <v>აპარატი</v>
      </c>
      <c r="O153" s="279"/>
      <c r="P153" s="280" t="s">
        <v>88</v>
      </c>
      <c r="Q153" s="278" t="str">
        <f>VLOOKUP(P153,[12]budget!$A$2:$B$104,2,0)</f>
        <v>ქალაქ ბათუმის მუნიციპალიტეტის მერია</v>
      </c>
      <c r="R153" s="281"/>
      <c r="S153" s="321" t="s">
        <v>618</v>
      </c>
      <c r="T153" s="307"/>
      <c r="U153" s="323"/>
      <c r="V153" s="283">
        <v>1062.5</v>
      </c>
      <c r="W153" s="283"/>
      <c r="X153" s="335" t="s">
        <v>619</v>
      </c>
      <c r="Y153" s="285">
        <f t="shared" si="17"/>
        <v>1337.5</v>
      </c>
      <c r="Z153" s="241"/>
    </row>
    <row r="154" spans="1:26" ht="45.75" customHeight="1">
      <c r="A154" s="174">
        <v>62</v>
      </c>
      <c r="B154" s="183">
        <v>79700000</v>
      </c>
      <c r="C154" s="169" t="s">
        <v>15</v>
      </c>
      <c r="D154" s="132" t="s">
        <v>307</v>
      </c>
      <c r="E154" s="38">
        <v>301200</v>
      </c>
      <c r="F154" s="45" t="s">
        <v>28</v>
      </c>
      <c r="G154" s="46" t="s">
        <v>443</v>
      </c>
      <c r="H154" s="47" t="str">
        <f>M154</f>
        <v>მე-10(1) მუხლ. მე-3 პუნქ. ”ა” ქვეპ.</v>
      </c>
      <c r="I154" s="273"/>
      <c r="J154" s="274">
        <v>1</v>
      </c>
      <c r="K154" s="287"/>
      <c r="L154" s="276">
        <v>2021</v>
      </c>
      <c r="M154" s="288" t="s">
        <v>61</v>
      </c>
      <c r="N154" s="278" t="str">
        <f>VLOOKUP(P154,budget!$A$2:$C$99,3,0)</f>
        <v>აპარატი - მატერ-ტექნიკ.</v>
      </c>
      <c r="O154" s="279" t="s">
        <v>55</v>
      </c>
      <c r="P154" s="280" t="s">
        <v>227</v>
      </c>
      <c r="Q154" s="278" t="str">
        <f>VLOOKUP(P154,budget!$A$2:$B$99,2,0)</f>
        <v>ქალაქ ბათუმის მუნიციპალიტეტის მერია</v>
      </c>
      <c r="R154" s="290"/>
      <c r="S154" s="291" t="s">
        <v>495</v>
      </c>
      <c r="T154" s="283">
        <f t="shared" si="32"/>
        <v>301200</v>
      </c>
      <c r="U154" s="283"/>
      <c r="V154" s="283">
        <v>301200</v>
      </c>
      <c r="W154" s="283"/>
      <c r="X154" s="271" t="s">
        <v>494</v>
      </c>
      <c r="Y154" s="285">
        <f t="shared" ref="Y154:Y183" si="34">IF(V154=0,"-",E154-V154)</f>
        <v>0</v>
      </c>
      <c r="Z154" s="295"/>
    </row>
    <row r="155" spans="1:26" ht="36.75" customHeight="1">
      <c r="A155" s="176"/>
      <c r="B155" s="184"/>
      <c r="C155" s="170"/>
      <c r="D155" s="132" t="s">
        <v>372</v>
      </c>
      <c r="E155" s="55">
        <v>57600</v>
      </c>
      <c r="F155" s="45" t="s">
        <v>28</v>
      </c>
      <c r="G155" s="46" t="s">
        <v>443</v>
      </c>
      <c r="H155" s="47" t="str">
        <f>M155</f>
        <v>მე-10(1) მუხლ. მე-3 პუნქ. ”ა” ქვეპ.</v>
      </c>
      <c r="I155" s="273"/>
      <c r="J155" s="274">
        <v>1</v>
      </c>
      <c r="K155" s="287"/>
      <c r="L155" s="276">
        <v>2021</v>
      </c>
      <c r="M155" s="288" t="s">
        <v>61</v>
      </c>
      <c r="N155" s="278" t="str">
        <f>VLOOKUP(P155,budget!$A$2:$C$99,3,0)</f>
        <v>მუნიციპალური ქონების და სერვისების მართვის სამსახური</v>
      </c>
      <c r="O155" s="279"/>
      <c r="P155" s="280" t="s">
        <v>342</v>
      </c>
      <c r="Q155" s="278" t="str">
        <f>VLOOKUP(P155,budget!$A$2:$B$99,2,0)</f>
        <v>თვითმმართველობის საკუთრებაში არსებული ქონების მართვა</v>
      </c>
      <c r="R155" s="290"/>
      <c r="S155" s="282" t="s">
        <v>493</v>
      </c>
      <c r="T155" s="283">
        <f>SUBTOTAL(9,U155:V155)</f>
        <v>57600</v>
      </c>
      <c r="U155" s="283"/>
      <c r="V155" s="283">
        <v>57600</v>
      </c>
      <c r="X155" s="271" t="s">
        <v>494</v>
      </c>
      <c r="Y155" s="285">
        <f t="shared" si="34"/>
        <v>0</v>
      </c>
      <c r="Z155" s="295"/>
    </row>
    <row r="156" spans="1:26" ht="27" customHeight="1">
      <c r="A156" s="62">
        <v>63</v>
      </c>
      <c r="B156" s="96">
        <v>79800000</v>
      </c>
      <c r="C156" s="97" t="s">
        <v>390</v>
      </c>
      <c r="D156" s="60" t="s">
        <v>389</v>
      </c>
      <c r="E156" s="38">
        <v>4999</v>
      </c>
      <c r="F156" s="29" t="s">
        <v>28</v>
      </c>
      <c r="G156" s="79" t="s">
        <v>446</v>
      </c>
      <c r="H156" s="30" t="str">
        <f>IF(L156=2019,M156,CONCATENATE(M156," მრავალწ. შესყიდ. ",L156," წ.წ. - შესყიდვის საერთო თანხა ",K156))</f>
        <v xml:space="preserve">მე-10(1) მუხლ. მე-3 პუნქ. ”ა” ქვეპ. მრავალწ. შესყიდ. 2021 წ.წ. - შესყიდვის საერთო თანხა </v>
      </c>
      <c r="I156" s="286"/>
      <c r="J156" s="274">
        <v>1</v>
      </c>
      <c r="K156" s="305"/>
      <c r="L156" s="276">
        <v>2021</v>
      </c>
      <c r="M156" s="288" t="s">
        <v>61</v>
      </c>
      <c r="N156" s="278" t="str">
        <f>VLOOKUP(P156,[16]budget!$A$2:$C$104,3,0)</f>
        <v>აპარატი - საქმისწარმოება</v>
      </c>
      <c r="O156" s="279" t="s">
        <v>55</v>
      </c>
      <c r="P156" s="280" t="s">
        <v>229</v>
      </c>
      <c r="Q156" s="278" t="str">
        <f>VLOOKUP(P156,[16]budget!$A$2:$B$104,2,0)</f>
        <v>ქალაქ ბათუმის მუნიციპალიტეტის მერია</v>
      </c>
      <c r="R156" s="290"/>
      <c r="S156" s="291" t="s">
        <v>664</v>
      </c>
      <c r="T156" s="283">
        <f t="shared" ref="T156" si="35">SUBTOTAL(9,U156:W156)</f>
        <v>4999</v>
      </c>
      <c r="U156" s="283"/>
      <c r="V156" s="283">
        <v>4999</v>
      </c>
      <c r="W156" s="283"/>
      <c r="X156" s="284" t="s">
        <v>665</v>
      </c>
      <c r="Y156" s="285">
        <f t="shared" si="34"/>
        <v>0</v>
      </c>
      <c r="Z156" s="295"/>
    </row>
    <row r="157" spans="1:26" ht="42" customHeight="1">
      <c r="A157" s="195">
        <v>64</v>
      </c>
      <c r="B157" s="196">
        <v>79900000</v>
      </c>
      <c r="C157" s="170" t="s">
        <v>387</v>
      </c>
      <c r="D157" s="60" t="s">
        <v>449</v>
      </c>
      <c r="E157" s="38">
        <v>100000</v>
      </c>
      <c r="F157" s="29" t="s">
        <v>22</v>
      </c>
      <c r="G157" s="79" t="s">
        <v>445</v>
      </c>
      <c r="H157" s="30"/>
      <c r="I157" s="300"/>
      <c r="J157" s="274">
        <v>1</v>
      </c>
      <c r="K157" s="305"/>
      <c r="L157" s="276">
        <v>2021</v>
      </c>
      <c r="M157" s="288"/>
      <c r="N157" s="278" t="str">
        <f>VLOOKUP(P157,budget!$A$2:$C$99,3,0)</f>
        <v>ახალგაზ. და სპორტი</v>
      </c>
      <c r="O157" s="279"/>
      <c r="P157" s="280" t="s">
        <v>316</v>
      </c>
      <c r="Q157" s="278" t="str">
        <f>VLOOKUP(P157,budget!$A$2:$B$99,2,0)</f>
        <v>ახალგაზრდული ცენტრი</v>
      </c>
      <c r="R157" s="290"/>
      <c r="S157" s="282"/>
      <c r="T157" s="283">
        <f t="shared" si="32"/>
        <v>0</v>
      </c>
      <c r="U157" s="283"/>
      <c r="V157" s="283"/>
      <c r="W157" s="283"/>
      <c r="X157" s="284"/>
      <c r="Y157" s="285" t="str">
        <f t="shared" si="34"/>
        <v>-</v>
      </c>
      <c r="Z157" s="295"/>
    </row>
    <row r="158" spans="1:26" ht="42" customHeight="1">
      <c r="A158" s="195"/>
      <c r="B158" s="197"/>
      <c r="C158" s="170"/>
      <c r="D158" s="60" t="s">
        <v>450</v>
      </c>
      <c r="E158" s="38">
        <v>34000</v>
      </c>
      <c r="F158" s="29" t="s">
        <v>22</v>
      </c>
      <c r="G158" s="79" t="s">
        <v>445</v>
      </c>
      <c r="H158" s="30"/>
      <c r="I158" s="300"/>
      <c r="J158" s="274">
        <v>1</v>
      </c>
      <c r="K158" s="305"/>
      <c r="L158" s="276">
        <v>2021</v>
      </c>
      <c r="M158" s="288"/>
      <c r="N158" s="278" t="str">
        <f>VLOOKUP(P158,budget!$A$2:$C$99,3,0)</f>
        <v>ახალგაზ. და სპორტი</v>
      </c>
      <c r="O158" s="279"/>
      <c r="P158" s="280" t="s">
        <v>314</v>
      </c>
      <c r="Q158" s="278" t="str">
        <f>VLOOKUP(P158,budget!$A$2:$B$99,2,0)</f>
        <v>ინტელექტუალური და შემეცნებითი პროექტების მხარდაჭერა</v>
      </c>
      <c r="R158" s="290"/>
      <c r="S158" s="282" t="s">
        <v>702</v>
      </c>
      <c r="T158" s="283">
        <f t="shared" si="32"/>
        <v>34000</v>
      </c>
      <c r="U158" s="283"/>
      <c r="V158" s="283">
        <v>34000</v>
      </c>
      <c r="W158" s="283"/>
      <c r="X158" s="284" t="s">
        <v>703</v>
      </c>
      <c r="Y158" s="285">
        <f t="shared" si="34"/>
        <v>0</v>
      </c>
      <c r="Z158" s="295"/>
    </row>
    <row r="159" spans="1:26" ht="40.5" customHeight="1">
      <c r="A159" s="195"/>
      <c r="B159" s="197"/>
      <c r="C159" s="170"/>
      <c r="D159" s="60" t="s">
        <v>451</v>
      </c>
      <c r="E159" s="38">
        <v>10220</v>
      </c>
      <c r="F159" s="29" t="s">
        <v>22</v>
      </c>
      <c r="G159" s="79" t="s">
        <v>445</v>
      </c>
      <c r="H159" s="30"/>
      <c r="I159" s="300"/>
      <c r="J159" s="274">
        <v>1</v>
      </c>
      <c r="K159" s="305"/>
      <c r="L159" s="276">
        <v>2021</v>
      </c>
      <c r="M159" s="288"/>
      <c r="N159" s="278" t="str">
        <f>VLOOKUP(P159,budget!$A$2:$C$99,3,0)</f>
        <v>ახალგაზ. და სპორტი</v>
      </c>
      <c r="O159" s="279"/>
      <c r="P159" s="280" t="s">
        <v>314</v>
      </c>
      <c r="Q159" s="278" t="str">
        <f>VLOOKUP(P159,budget!$A$2:$B$99,2,0)</f>
        <v>ინტელექტუალური და შემეცნებითი პროექტების მხარდაჭერა</v>
      </c>
      <c r="R159" s="290"/>
      <c r="S159" s="282"/>
      <c r="T159" s="283">
        <f t="shared" si="32"/>
        <v>0</v>
      </c>
      <c r="U159" s="283"/>
      <c r="V159" s="283"/>
      <c r="W159" s="283"/>
      <c r="X159" s="284"/>
      <c r="Y159" s="285" t="str">
        <f t="shared" si="34"/>
        <v>-</v>
      </c>
      <c r="Z159" s="295"/>
    </row>
    <row r="160" spans="1:26" ht="40.5" customHeight="1">
      <c r="A160" s="195"/>
      <c r="B160" s="197"/>
      <c r="C160" s="170"/>
      <c r="D160" s="60" t="s">
        <v>657</v>
      </c>
      <c r="E160" s="38">
        <v>37160</v>
      </c>
      <c r="F160" s="29" t="s">
        <v>22</v>
      </c>
      <c r="G160" s="143" t="s">
        <v>445</v>
      </c>
      <c r="H160" s="30"/>
      <c r="I160" s="300" t="s">
        <v>461</v>
      </c>
      <c r="J160" s="274">
        <v>11</v>
      </c>
      <c r="K160" s="305"/>
      <c r="L160" s="276">
        <v>2021</v>
      </c>
      <c r="M160" s="288"/>
      <c r="N160" s="278" t="str">
        <f>VLOOKUP(P160,budget!$A$2:$C$99,3,0)</f>
        <v>ახალგაზ. და სპორტი</v>
      </c>
      <c r="O160" s="279"/>
      <c r="P160" s="280" t="s">
        <v>314</v>
      </c>
      <c r="Q160" s="278" t="str">
        <f>VLOOKUP(P160,budget!$A$2:$B$99,2,0)</f>
        <v>ინტელექტუალური და შემეცნებითი პროექტების მხარდაჭერა</v>
      </c>
      <c r="R160" s="290"/>
      <c r="S160" s="282"/>
      <c r="T160" s="283"/>
      <c r="U160" s="283"/>
      <c r="V160" s="283"/>
      <c r="W160" s="283"/>
      <c r="X160" s="284"/>
      <c r="Y160" s="285" t="str">
        <f t="shared" si="34"/>
        <v>-</v>
      </c>
      <c r="Z160" s="295"/>
    </row>
    <row r="161" spans="1:26" ht="22.5" customHeight="1">
      <c r="A161" s="195"/>
      <c r="B161" s="197"/>
      <c r="C161" s="170"/>
      <c r="D161" s="60" t="s">
        <v>354</v>
      </c>
      <c r="E161" s="38">
        <v>7000</v>
      </c>
      <c r="F161" s="29" t="s">
        <v>22</v>
      </c>
      <c r="G161" s="79" t="s">
        <v>445</v>
      </c>
      <c r="H161" s="30"/>
      <c r="I161" s="300"/>
      <c r="J161" s="274">
        <v>1</v>
      </c>
      <c r="K161" s="305"/>
      <c r="L161" s="276">
        <v>2021</v>
      </c>
      <c r="M161" s="288"/>
      <c r="N161" s="278" t="str">
        <f>VLOOKUP(P161,budget!$A$2:$C$99,3,0)</f>
        <v>ახალგაზ. და სპორტი</v>
      </c>
      <c r="O161" s="279"/>
      <c r="P161" s="280" t="s">
        <v>194</v>
      </c>
      <c r="Q161" s="278" t="str">
        <f>VLOOKUP(P161,budget!$A$2:$B$99,2,0)</f>
        <v>ბათუმელი სპორტსმენების ინდივიდუალური განვითარების ხელშეწყობა</v>
      </c>
      <c r="R161" s="290"/>
      <c r="S161" s="282"/>
      <c r="T161" s="283">
        <f t="shared" si="32"/>
        <v>0</v>
      </c>
      <c r="U161" s="283"/>
      <c r="V161" s="283"/>
      <c r="W161" s="283"/>
      <c r="X161" s="284"/>
      <c r="Y161" s="285" t="str">
        <f t="shared" si="34"/>
        <v>-</v>
      </c>
      <c r="Z161" s="295"/>
    </row>
    <row r="162" spans="1:26" ht="22.5" customHeight="1">
      <c r="A162" s="195"/>
      <c r="B162" s="197"/>
      <c r="C162" s="170"/>
      <c r="D162" s="60" t="s">
        <v>355</v>
      </c>
      <c r="E162" s="38">
        <v>7000</v>
      </c>
      <c r="F162" s="29" t="s">
        <v>22</v>
      </c>
      <c r="G162" s="79" t="s">
        <v>445</v>
      </c>
      <c r="H162" s="30"/>
      <c r="I162" s="300"/>
      <c r="J162" s="274">
        <v>1</v>
      </c>
      <c r="K162" s="305"/>
      <c r="L162" s="276">
        <v>2021</v>
      </c>
      <c r="M162" s="288"/>
      <c r="N162" s="278" t="str">
        <f>VLOOKUP(P162,budget!$A$2:$C$99,3,0)</f>
        <v>განათ. და კულტურა</v>
      </c>
      <c r="O162" s="279"/>
      <c r="P162" s="280" t="s">
        <v>294</v>
      </c>
      <c r="Q162" s="278" t="str">
        <f>VLOOKUP(P162,budget!$A$2:$B$99,2,0)</f>
        <v>ხელოვანთა ხელშეწყობა</v>
      </c>
      <c r="R162" s="290"/>
      <c r="S162" s="282"/>
      <c r="T162" s="283">
        <f t="shared" si="32"/>
        <v>0</v>
      </c>
      <c r="U162" s="283"/>
      <c r="V162" s="283"/>
      <c r="W162" s="283"/>
      <c r="X162" s="284"/>
      <c r="Y162" s="285" t="str">
        <f t="shared" si="34"/>
        <v>-</v>
      </c>
      <c r="Z162" s="295"/>
    </row>
    <row r="163" spans="1:26" ht="24" customHeight="1">
      <c r="A163" s="195"/>
      <c r="B163" s="197"/>
      <c r="C163" s="170"/>
      <c r="D163" s="60" t="s">
        <v>349</v>
      </c>
      <c r="E163" s="38">
        <v>9000</v>
      </c>
      <c r="F163" s="29" t="s">
        <v>28</v>
      </c>
      <c r="G163" s="79" t="s">
        <v>446</v>
      </c>
      <c r="H163" s="30" t="str">
        <f>M163</f>
        <v>მე-10(1) მუხლ. მე-3 პუნქ. ”ა” ქვეპ.</v>
      </c>
      <c r="I163" s="300"/>
      <c r="J163" s="274">
        <v>1</v>
      </c>
      <c r="K163" s="305"/>
      <c r="L163" s="276">
        <v>2021</v>
      </c>
      <c r="M163" s="288" t="s">
        <v>61</v>
      </c>
      <c r="N163" s="278" t="str">
        <f>VLOOKUP(P163,budget!$A$2:$C$99,3,0)</f>
        <v>ახალგაზ. და სპორტი</v>
      </c>
      <c r="O163" s="279"/>
      <c r="P163" s="280" t="s">
        <v>314</v>
      </c>
      <c r="Q163" s="278" t="str">
        <f>VLOOKUP(P163,budget!$A$2:$B$99,2,0)</f>
        <v>ინტელექტუალური და შემეცნებითი პროექტების მხარდაჭერა</v>
      </c>
      <c r="R163" s="290"/>
      <c r="S163" s="282" t="s">
        <v>624</v>
      </c>
      <c r="T163" s="283">
        <f t="shared" si="32"/>
        <v>8940</v>
      </c>
      <c r="U163" s="283"/>
      <c r="V163" s="283">
        <v>8940</v>
      </c>
      <c r="W163" s="283"/>
      <c r="X163" s="284" t="s">
        <v>625</v>
      </c>
      <c r="Y163" s="285">
        <f t="shared" si="34"/>
        <v>60</v>
      </c>
      <c r="Z163" s="295"/>
    </row>
    <row r="164" spans="1:26" ht="26.25" customHeight="1">
      <c r="A164" s="195"/>
      <c r="B164" s="197"/>
      <c r="C164" s="170"/>
      <c r="D164" s="60" t="s">
        <v>353</v>
      </c>
      <c r="E164" s="38">
        <v>2960</v>
      </c>
      <c r="F164" s="29" t="s">
        <v>28</v>
      </c>
      <c r="G164" s="79" t="s">
        <v>446</v>
      </c>
      <c r="H164" s="30" t="str">
        <f>M164</f>
        <v>მე-10(1) მუხლ. მე-3 პუნქ. ”ა” ქვეპ.</v>
      </c>
      <c r="I164" s="300"/>
      <c r="J164" s="274">
        <v>1</v>
      </c>
      <c r="K164" s="305"/>
      <c r="L164" s="276">
        <v>2021</v>
      </c>
      <c r="M164" s="288" t="s">
        <v>61</v>
      </c>
      <c r="N164" s="278" t="str">
        <f>VLOOKUP(P164,budget!$A$2:$C$99,3,0)</f>
        <v>ახალგაზ. და სპორტი</v>
      </c>
      <c r="O164" s="279"/>
      <c r="P164" s="280" t="s">
        <v>314</v>
      </c>
      <c r="Q164" s="278" t="str">
        <f>VLOOKUP(P164,budget!$A$2:$B$99,2,0)</f>
        <v>ინტელექტუალური და შემეცნებითი პროექტების მხარდაჭერა</v>
      </c>
      <c r="R164" s="290"/>
      <c r="S164" s="282" t="s">
        <v>686</v>
      </c>
      <c r="T164" s="283">
        <f t="shared" si="32"/>
        <v>2960</v>
      </c>
      <c r="U164" s="283"/>
      <c r="V164" s="283">
        <v>2960</v>
      </c>
      <c r="W164" s="283"/>
      <c r="X164" s="284" t="s">
        <v>687</v>
      </c>
      <c r="Y164" s="285">
        <f t="shared" si="34"/>
        <v>0</v>
      </c>
      <c r="Z164" s="295"/>
    </row>
    <row r="165" spans="1:26" ht="45.75" customHeight="1">
      <c r="A165" s="195"/>
      <c r="B165" s="197"/>
      <c r="C165" s="170"/>
      <c r="D165" s="60" t="s">
        <v>452</v>
      </c>
      <c r="E165" s="38">
        <v>60250</v>
      </c>
      <c r="F165" s="29" t="s">
        <v>22</v>
      </c>
      <c r="G165" s="79" t="s">
        <v>445</v>
      </c>
      <c r="H165" s="30"/>
      <c r="I165" s="300"/>
      <c r="J165" s="274">
        <v>1</v>
      </c>
      <c r="K165" s="305"/>
      <c r="L165" s="276">
        <v>2021</v>
      </c>
      <c r="M165" s="288"/>
      <c r="N165" s="278" t="str">
        <f>VLOOKUP(P165,[8]budget!$A$2:$C$104,3,0)</f>
        <v>ახალგაზ. და სპორტი</v>
      </c>
      <c r="O165" s="279"/>
      <c r="P165" s="280" t="s">
        <v>316</v>
      </c>
      <c r="Q165" s="278" t="str">
        <f>VLOOKUP(P165,[8]budget!$A$2:$B$104,2,0)</f>
        <v>ახალგაზრდული ცენტრი</v>
      </c>
      <c r="R165" s="290"/>
      <c r="S165" s="282" t="s">
        <v>704</v>
      </c>
      <c r="T165" s="283">
        <f t="shared" si="32"/>
        <v>47338</v>
      </c>
      <c r="U165" s="283"/>
      <c r="V165" s="283">
        <v>47338</v>
      </c>
      <c r="W165" s="283"/>
      <c r="X165" s="284" t="s">
        <v>703</v>
      </c>
      <c r="Y165" s="285">
        <f t="shared" si="34"/>
        <v>12912</v>
      </c>
      <c r="Z165" s="295"/>
    </row>
    <row r="166" spans="1:26" ht="25.5" customHeight="1">
      <c r="A166" s="176">
        <v>65</v>
      </c>
      <c r="B166" s="196">
        <v>80500000</v>
      </c>
      <c r="C166" s="170" t="s">
        <v>597</v>
      </c>
      <c r="D166" s="60" t="s">
        <v>598</v>
      </c>
      <c r="E166" s="38">
        <v>8438</v>
      </c>
      <c r="F166" s="29" t="s">
        <v>22</v>
      </c>
      <c r="G166" s="131" t="s">
        <v>447</v>
      </c>
      <c r="H166" s="30"/>
      <c r="I166" s="280" t="s">
        <v>461</v>
      </c>
      <c r="J166" s="274">
        <v>6</v>
      </c>
      <c r="K166" s="287"/>
      <c r="L166" s="276">
        <v>2021</v>
      </c>
      <c r="M166" s="288"/>
      <c r="N166" s="278" t="str">
        <f>VLOOKUP(P166,[8]budget!$A$2:$C$104,3,0)</f>
        <v>სოციალური</v>
      </c>
      <c r="O166" s="306" t="s">
        <v>301</v>
      </c>
      <c r="P166" s="289" t="s">
        <v>318</v>
      </c>
      <c r="Q166" s="278" t="str">
        <f>VLOOKUP(P166,[8]budget!$A$2:$B$104,2,0)</f>
        <v>შეზღუდული შესაძლებლობების მქონე პირების ასისტენტით მომსახურება</v>
      </c>
      <c r="R166" s="290"/>
      <c r="S166" s="321"/>
      <c r="T166" s="283">
        <f t="shared" ref="T166:T167" si="36">SUBTOTAL(9,U166:W166)</f>
        <v>0</v>
      </c>
      <c r="U166" s="283"/>
      <c r="V166" s="283"/>
      <c r="W166" s="283"/>
      <c r="X166" s="284"/>
      <c r="Y166" s="285" t="str">
        <f t="shared" ref="Y166" si="37">IF(V166=0,"-",E166-V166)</f>
        <v>-</v>
      </c>
      <c r="Z166" s="241"/>
    </row>
    <row r="167" spans="1:26" ht="25.5" customHeight="1">
      <c r="A167" s="175"/>
      <c r="B167" s="198"/>
      <c r="C167" s="171"/>
      <c r="D167" s="60" t="s">
        <v>630</v>
      </c>
      <c r="E167" s="38">
        <v>14400</v>
      </c>
      <c r="F167" s="29" t="s">
        <v>22</v>
      </c>
      <c r="G167" s="125" t="s">
        <v>447</v>
      </c>
      <c r="H167" s="30"/>
      <c r="I167" s="280" t="s">
        <v>461</v>
      </c>
      <c r="J167" s="274">
        <v>8</v>
      </c>
      <c r="K167" s="287"/>
      <c r="L167" s="276">
        <v>2021</v>
      </c>
      <c r="M167" s="288"/>
      <c r="N167" s="278" t="str">
        <f>VLOOKUP(P167,[8]budget!$A$2:$C$104,3,0)</f>
        <v>სოციალური</v>
      </c>
      <c r="O167" s="306"/>
      <c r="P167" s="289" t="s">
        <v>318</v>
      </c>
      <c r="Q167" s="278" t="str">
        <f>VLOOKUP(P167,[8]budget!$A$2:$B$104,2,0)</f>
        <v>შეზღუდული შესაძლებლობების მქონე პირების ასისტენტით მომსახურება</v>
      </c>
      <c r="R167" s="290"/>
      <c r="S167" s="321" t="s">
        <v>693</v>
      </c>
      <c r="T167" s="283">
        <f t="shared" si="36"/>
        <v>14400</v>
      </c>
      <c r="U167" s="283"/>
      <c r="V167" s="283">
        <v>14400</v>
      </c>
      <c r="W167" s="283"/>
      <c r="X167" s="284" t="s">
        <v>694</v>
      </c>
      <c r="Y167" s="285">
        <f t="shared" si="34"/>
        <v>0</v>
      </c>
      <c r="Z167" s="241"/>
    </row>
    <row r="168" spans="1:26" ht="24" customHeight="1">
      <c r="A168" s="174">
        <v>66</v>
      </c>
      <c r="B168" s="183">
        <v>85100000</v>
      </c>
      <c r="C168" s="169" t="s">
        <v>16</v>
      </c>
      <c r="D168" s="132" t="s">
        <v>216</v>
      </c>
      <c r="E168" s="38">
        <v>38600</v>
      </c>
      <c r="F168" s="29" t="s">
        <v>22</v>
      </c>
      <c r="G168" s="31" t="s">
        <v>443</v>
      </c>
      <c r="H168" s="30"/>
      <c r="I168" s="300"/>
      <c r="J168" s="274">
        <v>1</v>
      </c>
      <c r="K168" s="287"/>
      <c r="L168" s="276">
        <v>2021</v>
      </c>
      <c r="M168" s="288"/>
      <c r="N168" s="278" t="str">
        <f>VLOOKUP(P168,budget!$A$2:$C$99,3,0)</f>
        <v>ჯანდაცვა</v>
      </c>
      <c r="O168" s="279"/>
      <c r="P168" s="289" t="s">
        <v>125</v>
      </c>
      <c r="Q168" s="278" t="str">
        <f>VLOOKUP(P168,budget!$A$2:$B$99,2,0)</f>
        <v>ონკოლოგიურ დაავადებათა ადრეული ფორმების დიაგნოსტიკა და პრევენცია</v>
      </c>
      <c r="R168" s="281"/>
      <c r="S168" s="282"/>
      <c r="T168" s="283">
        <f t="shared" si="32"/>
        <v>0</v>
      </c>
      <c r="U168" s="283"/>
      <c r="V168" s="283"/>
      <c r="W168" s="283"/>
      <c r="X168" s="284"/>
      <c r="Y168" s="285" t="str">
        <f t="shared" si="34"/>
        <v>-</v>
      </c>
      <c r="Z168" s="295"/>
    </row>
    <row r="169" spans="1:26" ht="28.5" customHeight="1">
      <c r="A169" s="176"/>
      <c r="B169" s="190"/>
      <c r="C169" s="170"/>
      <c r="D169" s="59" t="s">
        <v>363</v>
      </c>
      <c r="E169" s="38">
        <v>49000</v>
      </c>
      <c r="F169" s="29" t="s">
        <v>22</v>
      </c>
      <c r="G169" s="31" t="s">
        <v>443</v>
      </c>
      <c r="H169" s="30"/>
      <c r="I169" s="273"/>
      <c r="J169" s="274">
        <v>1</v>
      </c>
      <c r="K169" s="287"/>
      <c r="L169" s="276">
        <v>2021</v>
      </c>
      <c r="M169" s="288"/>
      <c r="N169" s="278" t="str">
        <f>VLOOKUP(P169,budget!$A$2:$C$99,3,0)</f>
        <v>ჯანდაცვა</v>
      </c>
      <c r="O169" s="279"/>
      <c r="P169" s="289" t="s">
        <v>131</v>
      </c>
      <c r="Q169" s="278" t="str">
        <f>VLOOKUP(P169,budget!$A$2:$B$99,2,0)</f>
        <v>ახალშობილთა და ბავშვთა განვითარების შეფერხების პრევენცია და რეაბილიტაცია</v>
      </c>
      <c r="R169" s="281"/>
      <c r="S169" s="282" t="s">
        <v>541</v>
      </c>
      <c r="T169" s="283">
        <f>SUBTOTAL(9,U169:V169)</f>
        <v>49000</v>
      </c>
      <c r="U169" s="283"/>
      <c r="V169" s="283">
        <v>49000</v>
      </c>
      <c r="X169" s="284" t="s">
        <v>540</v>
      </c>
      <c r="Y169" s="285">
        <f t="shared" si="34"/>
        <v>0</v>
      </c>
      <c r="Z169" s="295"/>
    </row>
    <row r="170" spans="1:26" ht="27.75" customHeight="1">
      <c r="A170" s="176"/>
      <c r="B170" s="190"/>
      <c r="C170" s="170"/>
      <c r="D170" s="59" t="s">
        <v>255</v>
      </c>
      <c r="E170" s="38">
        <v>32760</v>
      </c>
      <c r="F170" s="29" t="s">
        <v>22</v>
      </c>
      <c r="G170" s="31" t="s">
        <v>443</v>
      </c>
      <c r="H170" s="30"/>
      <c r="I170" s="300"/>
      <c r="J170" s="274">
        <v>1</v>
      </c>
      <c r="K170" s="287"/>
      <c r="L170" s="276">
        <v>2021</v>
      </c>
      <c r="M170" s="288"/>
      <c r="N170" s="278" t="str">
        <f>VLOOKUP(P170,budget!$A$2:$C$99,3,0)</f>
        <v>ჯანდაცვა</v>
      </c>
      <c r="O170" s="279"/>
      <c r="P170" s="289" t="s">
        <v>131</v>
      </c>
      <c r="Q170" s="278" t="str">
        <f>VLOOKUP(P170,budget!$A$2:$B$99,2,0)</f>
        <v>ახალშობილთა და ბავშვთა განვითარების შეფერხების პრევენცია და რეაბილიტაცია</v>
      </c>
      <c r="R170" s="281"/>
      <c r="S170" s="282" t="s">
        <v>526</v>
      </c>
      <c r="T170" s="283">
        <f>SUBTOTAL(9,U170:V170)</f>
        <v>32755</v>
      </c>
      <c r="U170" s="283"/>
      <c r="V170" s="283">
        <v>32755</v>
      </c>
      <c r="X170" s="284" t="s">
        <v>527</v>
      </c>
      <c r="Y170" s="285">
        <f t="shared" si="34"/>
        <v>5</v>
      </c>
      <c r="Z170" s="295"/>
    </row>
    <row r="171" spans="1:26" ht="27.75" customHeight="1">
      <c r="A171" s="176"/>
      <c r="B171" s="190"/>
      <c r="C171" s="170"/>
      <c r="D171" s="59" t="s">
        <v>256</v>
      </c>
      <c r="E171" s="38">
        <v>30990</v>
      </c>
      <c r="F171" s="29" t="s">
        <v>22</v>
      </c>
      <c r="G171" s="31" t="s">
        <v>443</v>
      </c>
      <c r="H171" s="30"/>
      <c r="I171" s="300"/>
      <c r="J171" s="274">
        <v>1</v>
      </c>
      <c r="K171" s="287"/>
      <c r="L171" s="276">
        <v>2021</v>
      </c>
      <c r="M171" s="288"/>
      <c r="N171" s="278" t="str">
        <f>VLOOKUP(P171,budget!$A$2:$C$99,3,0)</f>
        <v>ჯანდაცვა</v>
      </c>
      <c r="O171" s="279"/>
      <c r="P171" s="289" t="s">
        <v>131</v>
      </c>
      <c r="Q171" s="278" t="str">
        <f>VLOOKUP(P171,budget!$A$2:$B$99,2,0)</f>
        <v>ახალშობილთა და ბავშვთა განვითარების შეფერხების პრევენცია და რეაბილიტაცია</v>
      </c>
      <c r="R171" s="281"/>
      <c r="S171" s="282" t="s">
        <v>536</v>
      </c>
      <c r="T171" s="283">
        <f>SUBTOTAL(9,U171:V171)</f>
        <v>30870</v>
      </c>
      <c r="U171" s="283"/>
      <c r="V171" s="283">
        <v>30870</v>
      </c>
      <c r="X171" s="284" t="s">
        <v>535</v>
      </c>
      <c r="Y171" s="285">
        <f t="shared" si="34"/>
        <v>120</v>
      </c>
      <c r="Z171" s="295"/>
    </row>
    <row r="172" spans="1:26" ht="27.75" customHeight="1">
      <c r="A172" s="176"/>
      <c r="B172" s="190"/>
      <c r="C172" s="170"/>
      <c r="D172" s="59" t="s">
        <v>468</v>
      </c>
      <c r="E172" s="38">
        <v>170400</v>
      </c>
      <c r="F172" s="29" t="s">
        <v>28</v>
      </c>
      <c r="G172" s="85" t="s">
        <v>446</v>
      </c>
      <c r="H172" s="14" t="s">
        <v>58</v>
      </c>
      <c r="I172" s="300" t="s">
        <v>461</v>
      </c>
      <c r="J172" s="274">
        <v>3</v>
      </c>
      <c r="K172" s="287"/>
      <c r="L172" s="276">
        <v>2021</v>
      </c>
      <c r="M172" s="288"/>
      <c r="N172" s="278" t="str">
        <f>VLOOKUP(P172,budget!$A$2:$C$99,3,0)</f>
        <v>ჯანდაცვა</v>
      </c>
      <c r="O172" s="288" t="s">
        <v>58</v>
      </c>
      <c r="P172" s="289" t="s">
        <v>131</v>
      </c>
      <c r="Q172" s="278" t="str">
        <f>VLOOKUP(P172,budget!$A$2:$B$99,2,0)</f>
        <v>ახალშობილთა და ბავშვთა განვითარების შეფერხების პრევენცია და რეაბილიტაცია</v>
      </c>
      <c r="R172" s="281"/>
      <c r="S172" s="282" t="s">
        <v>517</v>
      </c>
      <c r="T172" s="283"/>
      <c r="U172" s="283"/>
      <c r="V172" s="283">
        <v>170400</v>
      </c>
      <c r="X172" s="284" t="s">
        <v>518</v>
      </c>
      <c r="Y172" s="285">
        <f t="shared" si="34"/>
        <v>0</v>
      </c>
      <c r="Z172" s="295"/>
    </row>
    <row r="173" spans="1:26" ht="27.75" customHeight="1">
      <c r="A173" s="176"/>
      <c r="B173" s="190"/>
      <c r="C173" s="170"/>
      <c r="D173" s="132" t="s">
        <v>223</v>
      </c>
      <c r="E173" s="38">
        <v>15224</v>
      </c>
      <c r="F173" s="29" t="s">
        <v>22</v>
      </c>
      <c r="G173" s="31" t="s">
        <v>443</v>
      </c>
      <c r="H173" s="30"/>
      <c r="I173" s="300"/>
      <c r="J173" s="274">
        <v>1</v>
      </c>
      <c r="K173" s="287"/>
      <c r="L173" s="276">
        <v>2021</v>
      </c>
      <c r="M173" s="288"/>
      <c r="N173" s="278" t="str">
        <f>VLOOKUP(P173,budget!$A$2:$C$99,3,0)</f>
        <v>ჯანდაცვა</v>
      </c>
      <c r="O173" s="279"/>
      <c r="P173" s="289" t="s">
        <v>131</v>
      </c>
      <c r="Q173" s="278" t="str">
        <f>VLOOKUP(P173,budget!$A$2:$B$99,2,0)</f>
        <v>ახალშობილთა და ბავშვთა განვითარების შეფერხების პრევენცია და რეაბილიტაცია</v>
      </c>
      <c r="R173" s="281"/>
      <c r="S173" s="282" t="s">
        <v>537</v>
      </c>
      <c r="T173" s="283">
        <f t="shared" ref="T173:T179" si="38">SUBTOTAL(9,U173:V173)</f>
        <v>15223.5</v>
      </c>
      <c r="U173" s="283"/>
      <c r="V173" s="283">
        <v>15223.5</v>
      </c>
      <c r="X173" s="284"/>
      <c r="Y173" s="285">
        <f t="shared" si="34"/>
        <v>0.5</v>
      </c>
      <c r="Z173" s="295"/>
    </row>
    <row r="174" spans="1:26" ht="26.25" customHeight="1">
      <c r="A174" s="176"/>
      <c r="B174" s="190"/>
      <c r="C174" s="170"/>
      <c r="D174" s="132" t="s">
        <v>254</v>
      </c>
      <c r="E174" s="38">
        <f>158900-31750</f>
        <v>127150</v>
      </c>
      <c r="F174" s="29" t="s">
        <v>22</v>
      </c>
      <c r="G174" s="31" t="s">
        <v>443</v>
      </c>
      <c r="H174" s="30"/>
      <c r="I174" s="273" t="s">
        <v>642</v>
      </c>
      <c r="J174" s="274">
        <v>11</v>
      </c>
      <c r="K174" s="287"/>
      <c r="L174" s="276">
        <v>2021</v>
      </c>
      <c r="M174" s="288"/>
      <c r="N174" s="278" t="str">
        <f>VLOOKUP(P174,budget!$A$2:$C$99,3,0)</f>
        <v>ჯანდაცვა</v>
      </c>
      <c r="O174" s="279"/>
      <c r="P174" s="289" t="s">
        <v>128</v>
      </c>
      <c r="Q174" s="278" t="str">
        <f>VLOOKUP(P174,budget!$A$2:$B$99,2,0)</f>
        <v>მოწყვლადი ჯგუფების სტომატოლოგიური და  ორთოპედიული  მომსახურეობა</v>
      </c>
      <c r="R174" s="281"/>
      <c r="S174" s="282" t="s">
        <v>529</v>
      </c>
      <c r="T174" s="283">
        <f t="shared" si="38"/>
        <v>127150</v>
      </c>
      <c r="U174" s="283"/>
      <c r="V174" s="283">
        <v>127150</v>
      </c>
      <c r="X174" s="284" t="s">
        <v>528</v>
      </c>
      <c r="Y174" s="285">
        <f t="shared" si="34"/>
        <v>0</v>
      </c>
      <c r="Z174" s="295"/>
    </row>
    <row r="175" spans="1:26" ht="28.5" customHeight="1">
      <c r="A175" s="174">
        <v>67</v>
      </c>
      <c r="B175" s="183">
        <v>90500000</v>
      </c>
      <c r="C175" s="169" t="s">
        <v>383</v>
      </c>
      <c r="D175" s="60" t="s">
        <v>384</v>
      </c>
      <c r="E175" s="38">
        <v>3855800</v>
      </c>
      <c r="F175" s="41" t="s">
        <v>22</v>
      </c>
      <c r="G175" s="31" t="s">
        <v>443</v>
      </c>
      <c r="H175" s="30"/>
      <c r="I175" s="286"/>
      <c r="J175" s="274">
        <v>1</v>
      </c>
      <c r="K175" s="287"/>
      <c r="L175" s="276">
        <v>2021</v>
      </c>
      <c r="M175" s="288"/>
      <c r="N175" s="278" t="str">
        <f>VLOOKUP(P175,[15]budget!$A$2:$C$104,3,0)</f>
        <v>კეთილმოწყობა</v>
      </c>
      <c r="O175" s="279"/>
      <c r="P175" s="280" t="s">
        <v>106</v>
      </c>
      <c r="Q175" s="278" t="str">
        <f>VLOOKUP(P175,[15]budget!$A$2:$B$104,2,0)</f>
        <v>გზების, ქუჩებისა და ტროტუარების მიმდინარე მოვლა-პატრონობა</v>
      </c>
      <c r="R175" s="290"/>
      <c r="S175" s="282" t="s">
        <v>514</v>
      </c>
      <c r="T175" s="283">
        <f t="shared" si="38"/>
        <v>3855800</v>
      </c>
      <c r="U175" s="283"/>
      <c r="V175" s="283">
        <v>3855800</v>
      </c>
      <c r="X175" s="284" t="s">
        <v>512</v>
      </c>
      <c r="Y175" s="285">
        <f t="shared" si="34"/>
        <v>0</v>
      </c>
      <c r="Z175" s="295"/>
    </row>
    <row r="176" spans="1:26" ht="25.5" customHeight="1">
      <c r="A176" s="175"/>
      <c r="B176" s="184"/>
      <c r="C176" s="171"/>
      <c r="D176" s="60" t="s">
        <v>385</v>
      </c>
      <c r="E176" s="38">
        <v>159654</v>
      </c>
      <c r="F176" s="41" t="s">
        <v>22</v>
      </c>
      <c r="G176" s="31" t="s">
        <v>443</v>
      </c>
      <c r="H176" s="30"/>
      <c r="I176" s="286"/>
      <c r="J176" s="274">
        <v>1</v>
      </c>
      <c r="K176" s="287"/>
      <c r="L176" s="276">
        <v>2021</v>
      </c>
      <c r="M176" s="288"/>
      <c r="N176" s="278" t="str">
        <f>VLOOKUP(P176,[15]budget!$A$2:$C$104,3,0)</f>
        <v>კეთილმოწყობა</v>
      </c>
      <c r="O176" s="279"/>
      <c r="P176" s="280" t="s">
        <v>109</v>
      </c>
      <c r="Q176" s="278" t="str">
        <f>VLOOKUP(P176,[15]budget!$A$2:$B$104,2,0)</f>
        <v>ქალაქის დასუფთავება და ნარჩენების გატანა</v>
      </c>
      <c r="R176" s="290"/>
      <c r="S176" s="282" t="s">
        <v>503</v>
      </c>
      <c r="T176" s="283">
        <f t="shared" si="38"/>
        <v>159654</v>
      </c>
      <c r="U176" s="283"/>
      <c r="V176" s="283">
        <v>159654</v>
      </c>
      <c r="X176" s="284" t="s">
        <v>502</v>
      </c>
      <c r="Y176" s="285">
        <f t="shared" si="34"/>
        <v>0</v>
      </c>
      <c r="Z176" s="295"/>
    </row>
    <row r="177" spans="1:26" ht="57" customHeight="1">
      <c r="A177" s="174">
        <v>68</v>
      </c>
      <c r="B177" s="183">
        <v>90600000</v>
      </c>
      <c r="C177" s="169" t="s">
        <v>381</v>
      </c>
      <c r="D177" s="60" t="s">
        <v>382</v>
      </c>
      <c r="E177" s="38">
        <v>6096649</v>
      </c>
      <c r="F177" s="41" t="s">
        <v>22</v>
      </c>
      <c r="G177" s="31" t="s">
        <v>443</v>
      </c>
      <c r="H177" s="30"/>
      <c r="I177" s="319"/>
      <c r="J177" s="274">
        <v>1</v>
      </c>
      <c r="K177" s="287"/>
      <c r="L177" s="276">
        <v>2021</v>
      </c>
      <c r="M177" s="288"/>
      <c r="N177" s="278" t="str">
        <f>VLOOKUP(P177,[15]budget!$A$2:$C$104,3,0)</f>
        <v>კეთილმოწყობა</v>
      </c>
      <c r="O177" s="306"/>
      <c r="P177" s="280" t="s">
        <v>106</v>
      </c>
      <c r="Q177" s="278" t="str">
        <f>VLOOKUP(P177,[15]budget!$A$2:$B$104,2,0)</f>
        <v>გზების, ქუჩებისა და ტროტუარების მიმდინარე მოვლა-პატრონობა</v>
      </c>
      <c r="R177" s="290"/>
      <c r="S177" s="282" t="s">
        <v>513</v>
      </c>
      <c r="T177" s="283">
        <f t="shared" si="38"/>
        <v>6096549.5</v>
      </c>
      <c r="U177" s="283"/>
      <c r="V177" s="283">
        <v>6096549.5</v>
      </c>
      <c r="X177" s="284" t="s">
        <v>512</v>
      </c>
      <c r="Y177" s="285">
        <f t="shared" si="34"/>
        <v>99.5</v>
      </c>
      <c r="Z177" s="295"/>
    </row>
    <row r="178" spans="1:26" ht="24.75" customHeight="1">
      <c r="A178" s="175"/>
      <c r="B178" s="184"/>
      <c r="C178" s="171"/>
      <c r="D178" s="60" t="s">
        <v>215</v>
      </c>
      <c r="E178" s="38">
        <f>314000+37680</f>
        <v>351680</v>
      </c>
      <c r="F178" s="41" t="s">
        <v>22</v>
      </c>
      <c r="G178" s="31" t="s">
        <v>443</v>
      </c>
      <c r="H178" s="30"/>
      <c r="I178" s="319" t="s">
        <v>463</v>
      </c>
      <c r="J178" s="274">
        <v>2</v>
      </c>
      <c r="K178" s="287"/>
      <c r="L178" s="276">
        <v>2021</v>
      </c>
      <c r="M178" s="288"/>
      <c r="N178" s="278" t="str">
        <f>VLOOKUP(P178,[8]budget!$A$2:$C$104,3,0)</f>
        <v>სანიტარული</v>
      </c>
      <c r="O178" s="279"/>
      <c r="P178" s="280" t="s">
        <v>212</v>
      </c>
      <c r="Q178" s="278" t="str">
        <f>VLOOKUP(P178,[8]budget!$A$2:$B$104,2,0)</f>
        <v>მაწანწალა ცხოველების  მოვლა-პატრონობისა და პოპულაციის რეგულირების  ღონისძიებები</v>
      </c>
      <c r="R178" s="290"/>
      <c r="S178" s="282" t="s">
        <v>519</v>
      </c>
      <c r="T178" s="283">
        <f t="shared" si="38"/>
        <v>351680</v>
      </c>
      <c r="U178" s="283"/>
      <c r="V178" s="283">
        <v>351680</v>
      </c>
      <c r="X178" s="284" t="s">
        <v>502</v>
      </c>
      <c r="Y178" s="285">
        <f t="shared" si="34"/>
        <v>0</v>
      </c>
      <c r="Z178" s="295"/>
    </row>
    <row r="179" spans="1:26" ht="47.25" customHeight="1">
      <c r="A179" s="193">
        <v>69</v>
      </c>
      <c r="B179" s="194">
        <v>90900000</v>
      </c>
      <c r="C179" s="177" t="s">
        <v>17</v>
      </c>
      <c r="D179" s="60" t="s">
        <v>252</v>
      </c>
      <c r="E179" s="38">
        <v>370000</v>
      </c>
      <c r="F179" s="41" t="s">
        <v>22</v>
      </c>
      <c r="G179" s="31" t="s">
        <v>443</v>
      </c>
      <c r="H179" s="30"/>
      <c r="I179" s="286"/>
      <c r="J179" s="274">
        <v>1</v>
      </c>
      <c r="K179" s="305"/>
      <c r="L179" s="276">
        <v>2021</v>
      </c>
      <c r="M179" s="288"/>
      <c r="N179" s="278" t="str">
        <f>VLOOKUP(P179,budget!$A$2:$C$99,3,0)</f>
        <v>სანიტარული</v>
      </c>
      <c r="O179" s="279"/>
      <c r="P179" s="280" t="s">
        <v>211</v>
      </c>
      <c r="Q179" s="278" t="str">
        <f>VLOOKUP(P179,budget!$A$2:$B$99,2,0)</f>
        <v>დეზინსექცია დერატიზაციის ღონისძიებები</v>
      </c>
      <c r="R179" s="290"/>
      <c r="S179" s="282" t="s">
        <v>532</v>
      </c>
      <c r="T179" s="283">
        <f t="shared" si="38"/>
        <v>369962</v>
      </c>
      <c r="U179" s="283"/>
      <c r="V179" s="283">
        <v>369962</v>
      </c>
      <c r="X179" s="284" t="s">
        <v>512</v>
      </c>
      <c r="Y179" s="285">
        <f t="shared" si="34"/>
        <v>38</v>
      </c>
      <c r="Z179" s="295"/>
    </row>
    <row r="180" spans="1:26" ht="28.5" customHeight="1">
      <c r="A180" s="193"/>
      <c r="B180" s="194"/>
      <c r="C180" s="177"/>
      <c r="D180" s="60" t="s">
        <v>18</v>
      </c>
      <c r="E180" s="38">
        <f>90000-16504</f>
        <v>73496</v>
      </c>
      <c r="F180" s="29" t="s">
        <v>22</v>
      </c>
      <c r="G180" s="31" t="s">
        <v>443</v>
      </c>
      <c r="H180" s="30"/>
      <c r="I180" s="319" t="s">
        <v>640</v>
      </c>
      <c r="J180" s="274">
        <v>11</v>
      </c>
      <c r="K180" s="305"/>
      <c r="L180" s="276">
        <v>2021</v>
      </c>
      <c r="M180" s="288"/>
      <c r="N180" s="278" t="str">
        <f>VLOOKUP(P180,budget!$A$2:$C$99,3,0)</f>
        <v>აპარატი - მატერ-ტექნიკ.</v>
      </c>
      <c r="O180" s="279" t="s">
        <v>52</v>
      </c>
      <c r="P180" s="280" t="s">
        <v>227</v>
      </c>
      <c r="Q180" s="278" t="str">
        <f>VLOOKUP(P180,budget!$A$2:$B$99,2,0)</f>
        <v>ქალაქ ბათუმის მუნიციპალიტეტის მერია</v>
      </c>
      <c r="R180" s="290"/>
      <c r="S180" s="291" t="s">
        <v>515</v>
      </c>
      <c r="T180" s="283">
        <f t="shared" si="32"/>
        <v>73495.839999999997</v>
      </c>
      <c r="U180" s="283"/>
      <c r="V180" s="283">
        <v>73495.839999999997</v>
      </c>
      <c r="W180" s="283"/>
      <c r="X180" s="284" t="s">
        <v>516</v>
      </c>
      <c r="Y180" s="285">
        <f t="shared" si="34"/>
        <v>0.16000000000349246</v>
      </c>
      <c r="Z180" s="295"/>
    </row>
    <row r="181" spans="1:26" ht="33.75" customHeight="1">
      <c r="A181" s="191">
        <v>70</v>
      </c>
      <c r="B181" s="183">
        <v>92200000</v>
      </c>
      <c r="C181" s="169" t="s">
        <v>141</v>
      </c>
      <c r="D181" s="60" t="s">
        <v>142</v>
      </c>
      <c r="E181" s="38">
        <v>2880</v>
      </c>
      <c r="F181" s="29" t="s">
        <v>28</v>
      </c>
      <c r="G181" s="31" t="s">
        <v>443</v>
      </c>
      <c r="H181" s="44" t="str">
        <f>M181</f>
        <v>მე-3 მუხ. 1-ლი პუნქ. "ს" ქვეპუნ.</v>
      </c>
      <c r="I181" s="286"/>
      <c r="J181" s="274">
        <v>1</v>
      </c>
      <c r="K181" s="287"/>
      <c r="L181" s="276">
        <v>2021</v>
      </c>
      <c r="M181" s="336" t="s">
        <v>29</v>
      </c>
      <c r="N181" s="278" t="str">
        <f>VLOOKUP(P181,budget!$A$2:$C$99,3,0)</f>
        <v>აპარატი - მატერ-ტექნიკ.</v>
      </c>
      <c r="O181" s="279" t="s">
        <v>52</v>
      </c>
      <c r="P181" s="280" t="s">
        <v>227</v>
      </c>
      <c r="Q181" s="278" t="str">
        <f>VLOOKUP(P181,budget!$A$2:$B$99,2,0)</f>
        <v>ქალაქ ბათუმის მუნიციპალიტეტის მერია</v>
      </c>
      <c r="R181" s="290"/>
      <c r="S181" s="291" t="s">
        <v>482</v>
      </c>
      <c r="T181" s="283">
        <f t="shared" si="32"/>
        <v>2640</v>
      </c>
      <c r="U181" s="283"/>
      <c r="V181" s="283">
        <v>2640</v>
      </c>
      <c r="W181" s="283"/>
      <c r="X181" s="284" t="s">
        <v>483</v>
      </c>
      <c r="Y181" s="285">
        <f t="shared" si="34"/>
        <v>240</v>
      </c>
      <c r="Z181" s="295"/>
    </row>
    <row r="182" spans="1:26" ht="33.75" customHeight="1">
      <c r="A182" s="192"/>
      <c r="B182" s="184"/>
      <c r="C182" s="171"/>
      <c r="D182" s="60" t="s">
        <v>142</v>
      </c>
      <c r="E182" s="38">
        <v>1500</v>
      </c>
      <c r="F182" s="29" t="s">
        <v>28</v>
      </c>
      <c r="G182" s="79" t="s">
        <v>446</v>
      </c>
      <c r="H182" s="30" t="s">
        <v>29</v>
      </c>
      <c r="I182" s="286"/>
      <c r="J182" s="274">
        <v>1</v>
      </c>
      <c r="K182" s="287"/>
      <c r="L182" s="276">
        <v>2021</v>
      </c>
      <c r="M182" s="336" t="s">
        <v>29</v>
      </c>
      <c r="N182" s="278" t="str">
        <f>VLOOKUP(P182,budget!$A$2:$C$99,3,0)</f>
        <v xml:space="preserve">საკრებულო - აპარატი </v>
      </c>
      <c r="O182" s="279"/>
      <c r="P182" s="280" t="s">
        <v>325</v>
      </c>
      <c r="Q182" s="278" t="str">
        <f>VLOOKUP(P182,budget!$A$2:$B$99,2,0)</f>
        <v>ქალაქ ბათუმის მუნიციპალიტეტის საკრებულო</v>
      </c>
      <c r="R182" s="290"/>
      <c r="S182" s="282" t="s">
        <v>487</v>
      </c>
      <c r="T182" s="283">
        <f>SUBTOTAL(9,U182:V182)</f>
        <v>1344</v>
      </c>
      <c r="U182" s="283"/>
      <c r="V182" s="283">
        <v>1344</v>
      </c>
      <c r="X182" s="284" t="s">
        <v>486</v>
      </c>
      <c r="Y182" s="285">
        <f t="shared" si="34"/>
        <v>156</v>
      </c>
      <c r="Z182" s="295"/>
    </row>
    <row r="183" spans="1:26" ht="39.75" customHeight="1">
      <c r="A183" s="66">
        <v>71</v>
      </c>
      <c r="B183" s="90">
        <v>98300000</v>
      </c>
      <c r="C183" s="105" t="s">
        <v>364</v>
      </c>
      <c r="D183" s="60" t="s">
        <v>365</v>
      </c>
      <c r="E183" s="38">
        <f>9000-2990</f>
        <v>6010</v>
      </c>
      <c r="F183" s="29" t="s">
        <v>22</v>
      </c>
      <c r="G183" s="31" t="s">
        <v>443</v>
      </c>
      <c r="H183" s="30"/>
      <c r="I183" s="273" t="s">
        <v>649</v>
      </c>
      <c r="J183" s="274">
        <v>11</v>
      </c>
      <c r="K183" s="287"/>
      <c r="L183" s="276">
        <v>2021</v>
      </c>
      <c r="M183" s="288"/>
      <c r="N183" s="278">
        <f>VLOOKUP(P183,budget!$A$2:$C$99,3,0)</f>
        <v>0</v>
      </c>
      <c r="O183" s="279" t="s">
        <v>52</v>
      </c>
      <c r="P183" s="280" t="s">
        <v>315</v>
      </c>
      <c r="Q183" s="278" t="str">
        <f>VLOOKUP(P183,budget!$A$2:$B$99,2,0)</f>
        <v>ახალგაზრდობის განვითარების ხელშეწყობა</v>
      </c>
      <c r="R183" s="334"/>
      <c r="S183" s="291" t="s">
        <v>582</v>
      </c>
      <c r="T183" s="283">
        <f t="shared" si="32"/>
        <v>6010</v>
      </c>
      <c r="U183" s="283"/>
      <c r="V183" s="283">
        <v>6010</v>
      </c>
      <c r="W183" s="283"/>
      <c r="X183" s="284" t="s">
        <v>581</v>
      </c>
      <c r="Y183" s="285">
        <f t="shared" si="34"/>
        <v>0</v>
      </c>
      <c r="Z183" s="241"/>
    </row>
    <row r="184" spans="1:26" ht="14.25" customHeight="1"/>
    <row r="185" spans="1:26">
      <c r="I185" s="337">
        <f>SUBTOTAL(9,I9:I184)</f>
        <v>-20800</v>
      </c>
    </row>
    <row r="187" spans="1:26">
      <c r="E187" s="344"/>
    </row>
    <row r="188" spans="1:26" hidden="1">
      <c r="E188" s="345">
        <f>SUBTOTAL(9,E9:E187)</f>
        <v>15106063</v>
      </c>
    </row>
    <row r="189" spans="1:26" hidden="1">
      <c r="E189" s="345"/>
    </row>
    <row r="190" spans="1:26" hidden="1">
      <c r="E190" s="345">
        <v>255000</v>
      </c>
      <c r="F190" s="50"/>
    </row>
    <row r="191" spans="1:26" hidden="1">
      <c r="E191" s="345">
        <v>40000</v>
      </c>
      <c r="F191" s="50"/>
    </row>
    <row r="192" spans="1:26" hidden="1">
      <c r="E192" s="344"/>
      <c r="F192" s="50"/>
    </row>
    <row r="193" spans="1:25" hidden="1">
      <c r="E193" s="344">
        <f>SUBTOTAL(9,E188:E192)</f>
        <v>295000</v>
      </c>
    </row>
    <row r="194" spans="1:25" hidden="1">
      <c r="E194" s="344"/>
      <c r="F194" s="50"/>
    </row>
    <row r="195" spans="1:25" hidden="1">
      <c r="E195" s="346">
        <f>E191+E190+E188</f>
        <v>15401063</v>
      </c>
    </row>
    <row r="196" spans="1:25" hidden="1">
      <c r="E196" s="344"/>
    </row>
    <row r="197" spans="1:25" hidden="1">
      <c r="A197" s="12"/>
      <c r="B197" s="54"/>
      <c r="C197" s="53"/>
      <c r="E197" s="338">
        <v>482500</v>
      </c>
      <c r="F197" s="2"/>
      <c r="G197" s="2"/>
      <c r="I197" s="341"/>
      <c r="J197" s="229"/>
      <c r="K197" s="229"/>
      <c r="L197" s="229"/>
      <c r="M197" s="229"/>
      <c r="N197" s="229"/>
      <c r="O197" s="229"/>
      <c r="P197" s="229"/>
      <c r="Q197" s="229"/>
      <c r="R197" s="229"/>
      <c r="S197" s="338"/>
      <c r="T197" s="229"/>
      <c r="U197" s="229"/>
      <c r="V197" s="229"/>
      <c r="W197" s="342"/>
      <c r="X197" s="343"/>
      <c r="Y197" s="229"/>
    </row>
    <row r="198" spans="1:25" hidden="1">
      <c r="E198" s="346">
        <f>E197-E195</f>
        <v>-14918563</v>
      </c>
    </row>
    <row r="199" spans="1:25">
      <c r="A199" s="12"/>
      <c r="B199" s="54"/>
      <c r="C199" s="53"/>
      <c r="E199" s="2"/>
      <c r="F199" s="2"/>
      <c r="G199" s="2"/>
      <c r="I199" s="341"/>
      <c r="J199" s="229"/>
      <c r="K199" s="229"/>
      <c r="L199" s="229"/>
      <c r="M199" s="229"/>
      <c r="N199" s="229"/>
      <c r="O199" s="229"/>
      <c r="P199" s="229"/>
      <c r="Q199" s="229"/>
      <c r="R199" s="229"/>
      <c r="S199" s="338"/>
      <c r="T199" s="229"/>
      <c r="U199" s="229"/>
      <c r="V199" s="229"/>
      <c r="W199" s="342"/>
      <c r="X199" s="343"/>
      <c r="Y199" s="229"/>
    </row>
  </sheetData>
  <autoFilter ref="A7:AB182" xr:uid="{00000000-0009-0000-0000-000000000000}"/>
  <dataConsolidate/>
  <mergeCells count="152">
    <mergeCell ref="A134:A135"/>
    <mergeCell ref="C122:C124"/>
    <mergeCell ref="B110:B111"/>
    <mergeCell ref="C110:C111"/>
    <mergeCell ref="C134:C135"/>
    <mergeCell ref="B144:B148"/>
    <mergeCell ref="A104:A105"/>
    <mergeCell ref="A122:A124"/>
    <mergeCell ref="A144:A148"/>
    <mergeCell ref="A136:A137"/>
    <mergeCell ref="A127:A133"/>
    <mergeCell ref="A125:A126"/>
    <mergeCell ref="B125:B126"/>
    <mergeCell ref="C125:C126"/>
    <mergeCell ref="A115:A116"/>
    <mergeCell ref="B115:B116"/>
    <mergeCell ref="C115:C116"/>
    <mergeCell ref="A113:A114"/>
    <mergeCell ref="B113:B114"/>
    <mergeCell ref="C113:C114"/>
    <mergeCell ref="A139:A141"/>
    <mergeCell ref="B139:B141"/>
    <mergeCell ref="C139:C141"/>
    <mergeCell ref="A154:A155"/>
    <mergeCell ref="A2:H2"/>
    <mergeCell ref="E3:H3"/>
    <mergeCell ref="E4:H4"/>
    <mergeCell ref="E5:F5"/>
    <mergeCell ref="C6:D6"/>
    <mergeCell ref="A3:D3"/>
    <mergeCell ref="A4:D4"/>
    <mergeCell ref="A5:D5"/>
    <mergeCell ref="C149:C151"/>
    <mergeCell ref="B149:B151"/>
    <mergeCell ref="A149:A151"/>
    <mergeCell ref="B86:B87"/>
    <mergeCell ref="C86:C87"/>
    <mergeCell ref="A74:A78"/>
    <mergeCell ref="B74:B78"/>
    <mergeCell ref="C74:C78"/>
    <mergeCell ref="A98:A99"/>
    <mergeCell ref="B92:B93"/>
    <mergeCell ref="C92:C93"/>
    <mergeCell ref="A117:A121"/>
    <mergeCell ref="B117:B121"/>
    <mergeCell ref="C117:C121"/>
    <mergeCell ref="A175:A176"/>
    <mergeCell ref="B175:B176"/>
    <mergeCell ref="C175:C176"/>
    <mergeCell ref="C168:C174"/>
    <mergeCell ref="B168:B174"/>
    <mergeCell ref="A168:A174"/>
    <mergeCell ref="A157:A165"/>
    <mergeCell ref="B157:B165"/>
    <mergeCell ref="C157:C165"/>
    <mergeCell ref="A166:A167"/>
    <mergeCell ref="B166:B167"/>
    <mergeCell ref="C166:C167"/>
    <mergeCell ref="B181:B182"/>
    <mergeCell ref="C181:C182"/>
    <mergeCell ref="A181:A182"/>
    <mergeCell ref="A179:A180"/>
    <mergeCell ref="B179:B180"/>
    <mergeCell ref="C179:C180"/>
    <mergeCell ref="A177:A178"/>
    <mergeCell ref="B177:B178"/>
    <mergeCell ref="C177:C178"/>
    <mergeCell ref="B154:B155"/>
    <mergeCell ref="C154:C155"/>
    <mergeCell ref="B127:B133"/>
    <mergeCell ref="C127:C133"/>
    <mergeCell ref="C24:C27"/>
    <mergeCell ref="B28:B29"/>
    <mergeCell ref="C28:C29"/>
    <mergeCell ref="B12:B14"/>
    <mergeCell ref="B104:B105"/>
    <mergeCell ref="C104:C105"/>
    <mergeCell ref="C144:C148"/>
    <mergeCell ref="B122:B124"/>
    <mergeCell ref="B134:B135"/>
    <mergeCell ref="C80:C81"/>
    <mergeCell ref="C102:C103"/>
    <mergeCell ref="B66:B67"/>
    <mergeCell ref="C66:C67"/>
    <mergeCell ref="B80:B81"/>
    <mergeCell ref="B136:B137"/>
    <mergeCell ref="C136:C137"/>
    <mergeCell ref="B100:B101"/>
    <mergeCell ref="C100:C101"/>
    <mergeCell ref="A92:A93"/>
    <mergeCell ref="A102:A103"/>
    <mergeCell ref="B102:B103"/>
    <mergeCell ref="B98:B99"/>
    <mergeCell ref="C98:C99"/>
    <mergeCell ref="A110:A111"/>
    <mergeCell ref="A24:A27"/>
    <mergeCell ref="A28:A29"/>
    <mergeCell ref="A58:A62"/>
    <mergeCell ref="B58:B62"/>
    <mergeCell ref="C58:C62"/>
    <mergeCell ref="A80:A81"/>
    <mergeCell ref="A86:A87"/>
    <mergeCell ref="A68:A73"/>
    <mergeCell ref="B68:B73"/>
    <mergeCell ref="C68:C73"/>
    <mergeCell ref="A100:A101"/>
    <mergeCell ref="A106:A109"/>
    <mergeCell ref="B106:B109"/>
    <mergeCell ref="C106:C109"/>
    <mergeCell ref="K3:L3"/>
    <mergeCell ref="K4:L4"/>
    <mergeCell ref="B63:B64"/>
    <mergeCell ref="C63:C64"/>
    <mergeCell ref="C12:C14"/>
    <mergeCell ref="B46:B53"/>
    <mergeCell ref="C46:C53"/>
    <mergeCell ref="B54:B55"/>
    <mergeCell ref="C54:C55"/>
    <mergeCell ref="C56:C57"/>
    <mergeCell ref="B56:B57"/>
    <mergeCell ref="B10:B11"/>
    <mergeCell ref="C10:C11"/>
    <mergeCell ref="B20:B23"/>
    <mergeCell ref="C20:C23"/>
    <mergeCell ref="B24:B27"/>
    <mergeCell ref="B30:B33"/>
    <mergeCell ref="C30:C33"/>
    <mergeCell ref="B8:B9"/>
    <mergeCell ref="C8:C9"/>
    <mergeCell ref="S6:X6"/>
    <mergeCell ref="A63:A64"/>
    <mergeCell ref="A12:A14"/>
    <mergeCell ref="A36:A37"/>
    <mergeCell ref="B36:B37"/>
    <mergeCell ref="C36:C37"/>
    <mergeCell ref="A66:A67"/>
    <mergeCell ref="A17:A19"/>
    <mergeCell ref="B17:B19"/>
    <mergeCell ref="C17:C19"/>
    <mergeCell ref="A20:A23"/>
    <mergeCell ref="A15:A16"/>
    <mergeCell ref="B15:B16"/>
    <mergeCell ref="C15:C16"/>
    <mergeCell ref="A46:A53"/>
    <mergeCell ref="A54:A55"/>
    <mergeCell ref="A56:A57"/>
    <mergeCell ref="A10:A11"/>
    <mergeCell ref="A30:A33"/>
    <mergeCell ref="A38:A45"/>
    <mergeCell ref="B38:B45"/>
    <mergeCell ref="C38:C45"/>
    <mergeCell ref="A8:A9"/>
  </mergeCells>
  <printOptions horizontalCentered="1"/>
  <pageMargins left="0.11811023622047245" right="0.11811023622047245" top="0.59055118110236227" bottom="0.31496062992125984" header="0.31496062992125984" footer="0.19685039370078741"/>
  <pageSetup paperSize="9" scale="82" orientation="landscape" r:id="rId1"/>
  <headerFooter>
    <oddFooter>&amp;R&amp;"Sylfaen,обычный"&amp;9&amp;P</oddFooter>
  </headerFooter>
  <rowBreaks count="2" manualBreakCount="2">
    <brk id="53" max="7" man="1"/>
    <brk id="79" max="7" man="1"/>
  </rowBreaks>
  <ignoredErrors>
    <ignoredError sqref="N13 H33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0000000}">
          <x14:formula1>
            <xm:f>list!$A$18:$A$23</xm:f>
          </x14:formula1>
          <xm:sqref>O37 O15:O17 O46:O62 O154:O164 O39:O41 O19:O21 O31:O32 O143 O23 O8:O13 O111:O116 O179:O183 O35 M40 O66:O81 O96:O103 O132:O135 O83:O85 O118:O125 O43:O44 O87:O90 O151 O146:O147 O127:O128 O92:O94 O139:O141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1000000}">
          <x14:formula1>
            <xm:f>'C:\Users\Iamze Zosidze\Desktop\გეგმა 2019\[19- 2019- წლის შესყიდვების გეგმა - 23.10.2019.xlsx]list'!#REF!</xm:f>
          </x14:formula1>
          <xm:sqref>O177 O149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2000000}">
          <x14:formula1>
            <xm:f>'C:\Users\Iamze Zosidze\Desktop\2019 წელი\გეგმა 2019\[1 - 2019- წლის შესყიდვების გეგმა - 20.11.18.xlsx]list'!#REF!</xm:f>
          </x14:formula1>
          <xm:sqref>O110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3000000}">
          <x14:formula1>
            <xm:f>'C:\Users\Iamze Zosidze\Desktop\2019 წელი\გეგმა 2019\[21- 2019- წლის შესყიდვების გეგმა - 11.12.2019 - Copy.xlsx]list'!#REF!</xm:f>
          </x14:formula1>
          <xm:sqref>O178 O63:O65 O33:O34 O86 O137:O138 O14 O42 O36 O38 O148 O142 O24:O25 O129:O131 O173:O176 O168:O171 O150 O145 O104:O109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4000000}">
          <x14:formula1>
            <xm:f>'C:\Users\Iamze Zosidze\AppData\Roaming\Microsoft\Excel\[6- 2020 წლის შესყიდვების გეგმა - 23.01 (version 1).xlsb]list'!#REF!</xm:f>
          </x14:formula1>
          <xm:sqref>O18 O22 O26:O29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5000000}">
          <x14:formula1>
            <xm:f>'C:\Users\Tengiz Abuseridze\Desktop\შესყიდვების გეგმა 2020\[8- 2020 წლის შესყიდვების გეგმა - 09.03.2020.xlsx]list'!#REF!</xm:f>
          </x14:formula1>
          <xm:sqref>O82 O165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6000000}">
          <x14:formula1>
            <xm:f>'C:\Users\Iamze Zosidze\Desktop\2019 წელი\გეგმა 2019\[22- 2019- წლის შესყიდვების გეგმა - 17.12.2019 -.xlsx]list'!#REF!</xm:f>
          </x14:formula1>
          <xm:sqref>O152:O153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7000000}">
          <x14:formula1>
            <xm:f>'C:\Users\Iamze Zosidze\Desktop\2020\გეგმა  2020\[19 - 2020 წლის შესყიდვების გეგმა - 11.09.2020.xlsx]list'!#REF!</xm:f>
          </x14:formula1>
          <xm:sqref>O166:O167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8000000}">
          <x14:formula1>
            <xm:f>'C:\Users\Iamze Zosidze\Desktop\გეგმა 2021\[7 - 2021 წლის შესყიდვების გეგმა 20.04.2021.xlsx]list'!#REF!</xm:f>
          </x14:formula1>
          <xm:sqref>O126</xm:sqref>
        </x14:dataValidation>
        <x14:dataValidation type="list" allowBlank="1" showErrorMessage="1" errorTitle="აირჩიეთ მხოლოდ სიიდან" error="არჩევა შესაძლებელია მხოლოდ სიიდან" promptTitle="აირჩიეთ სიიდან" xr:uid="{00000000-0002-0000-0000-000009000000}">
          <x14:formula1>
            <xm:f>'F:\ტენდერები-2019\გეგმა 2019\[19- 2019- წლის შესყიდვების გეგმა - 23.10.2019.xlsx]list'!#REF!</xm:f>
          </x14:formula1>
          <xm:sqref>O95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7" workbookViewId="0">
      <selection activeCell="A19" sqref="A19:A23"/>
    </sheetView>
  </sheetViews>
  <sheetFormatPr defaultRowHeight="14.4"/>
  <cols>
    <col min="1" max="1" width="37.109375" customWidth="1"/>
    <col min="2" max="2" width="88.33203125" customWidth="1"/>
  </cols>
  <sheetData>
    <row r="1" spans="1:2">
      <c r="A1" s="6" t="s">
        <v>68</v>
      </c>
      <c r="B1" s="6" t="s">
        <v>69</v>
      </c>
    </row>
    <row r="2" spans="1:2">
      <c r="A2" s="6"/>
      <c r="B2" s="6"/>
    </row>
    <row r="3" spans="1:2" ht="30" customHeight="1">
      <c r="A3" s="111" t="s">
        <v>590</v>
      </c>
      <c r="B3" s="112" t="s">
        <v>82</v>
      </c>
    </row>
    <row r="4" spans="1:2" ht="38.25" customHeight="1">
      <c r="A4" s="9" t="s">
        <v>61</v>
      </c>
      <c r="B4" s="10" t="s">
        <v>67</v>
      </c>
    </row>
    <row r="5" spans="1:2" ht="24" customHeight="1">
      <c r="A5" s="9" t="s">
        <v>59</v>
      </c>
      <c r="B5" s="10" t="s">
        <v>70</v>
      </c>
    </row>
    <row r="6" spans="1:2" ht="36" customHeight="1">
      <c r="A6" s="9" t="s">
        <v>65</v>
      </c>
      <c r="B6" s="10" t="s">
        <v>71</v>
      </c>
    </row>
    <row r="7" spans="1:2" ht="45" customHeight="1">
      <c r="A7" s="9" t="s">
        <v>58</v>
      </c>
      <c r="B7" s="10" t="s">
        <v>72</v>
      </c>
    </row>
    <row r="8" spans="1:2" ht="60.75" customHeight="1">
      <c r="A8" s="9" t="s">
        <v>84</v>
      </c>
      <c r="B8" s="10" t="s">
        <v>73</v>
      </c>
    </row>
    <row r="9" spans="1:2" ht="24.75" customHeight="1">
      <c r="A9" s="9" t="s">
        <v>80</v>
      </c>
      <c r="B9" s="10" t="s">
        <v>81</v>
      </c>
    </row>
    <row r="10" spans="1:2" ht="34.5" customHeight="1">
      <c r="A10" s="9" t="s">
        <v>60</v>
      </c>
      <c r="B10" s="10" t="s">
        <v>74</v>
      </c>
    </row>
    <row r="11" spans="1:2" ht="59.25" customHeight="1">
      <c r="A11" s="9" t="s">
        <v>75</v>
      </c>
      <c r="B11" s="10" t="s">
        <v>76</v>
      </c>
    </row>
    <row r="12" spans="1:2" ht="61.5" customHeight="1">
      <c r="A12" s="9" t="s">
        <v>78</v>
      </c>
      <c r="B12" s="10" t="s">
        <v>77</v>
      </c>
    </row>
    <row r="13" spans="1:2" ht="71.25" customHeight="1">
      <c r="A13" s="9" t="s">
        <v>79</v>
      </c>
      <c r="B13" s="10" t="s">
        <v>83</v>
      </c>
    </row>
    <row r="14" spans="1:2" ht="41.25" customHeight="1">
      <c r="A14" s="19" t="s">
        <v>162</v>
      </c>
      <c r="B14" s="18" t="s">
        <v>163</v>
      </c>
    </row>
    <row r="15" spans="1:2">
      <c r="A15" s="7"/>
      <c r="B15" s="7"/>
    </row>
    <row r="16" spans="1:2">
      <c r="A16" s="8"/>
      <c r="B16" s="8"/>
    </row>
    <row r="18" spans="1:2">
      <c r="A18" s="11" t="s">
        <v>54</v>
      </c>
    </row>
    <row r="19" spans="1:2">
      <c r="A19" s="11" t="s">
        <v>66</v>
      </c>
    </row>
    <row r="20" spans="1:2">
      <c r="A20" s="11" t="s">
        <v>52</v>
      </c>
    </row>
    <row r="21" spans="1:2">
      <c r="A21" s="11" t="s">
        <v>302</v>
      </c>
    </row>
    <row r="22" spans="1:2">
      <c r="A22" s="11" t="s">
        <v>55</v>
      </c>
    </row>
    <row r="23" spans="1:2">
      <c r="A23" s="11" t="s">
        <v>301</v>
      </c>
    </row>
    <row r="25" spans="1:2">
      <c r="A25" s="8"/>
      <c r="B25" s="8"/>
    </row>
    <row r="27" spans="1:2">
      <c r="A27" s="11" t="s">
        <v>22</v>
      </c>
    </row>
    <row r="28" spans="1:2">
      <c r="A28" s="11" t="s">
        <v>23</v>
      </c>
    </row>
    <row r="29" spans="1:2">
      <c r="A29" s="11" t="s">
        <v>28</v>
      </c>
    </row>
    <row r="30" spans="1:2">
      <c r="A30" s="11" t="s">
        <v>39</v>
      </c>
    </row>
    <row r="32" spans="1:2">
      <c r="A32" s="8"/>
      <c r="B32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"/>
  <sheetViews>
    <sheetView zoomScaleNormal="100" workbookViewId="0">
      <selection activeCell="C12" sqref="C12"/>
    </sheetView>
  </sheetViews>
  <sheetFormatPr defaultRowHeight="14.4"/>
  <cols>
    <col min="2" max="2" width="63.88671875" customWidth="1"/>
    <col min="3" max="3" width="68.44140625" style="114" customWidth="1"/>
  </cols>
  <sheetData>
    <row r="1" spans="1:3" ht="23.25" customHeight="1">
      <c r="A1" s="17" t="s">
        <v>50</v>
      </c>
      <c r="B1" s="17" t="s">
        <v>51</v>
      </c>
      <c r="C1" s="113" t="s">
        <v>300</v>
      </c>
    </row>
    <row r="2" spans="1:3" ht="26.4">
      <c r="A2" s="68" t="s">
        <v>104</v>
      </c>
      <c r="B2" s="69" t="s">
        <v>105</v>
      </c>
    </row>
    <row r="3" spans="1:3" ht="18.75" customHeight="1">
      <c r="A3" s="118" t="s">
        <v>325</v>
      </c>
      <c r="B3" s="119" t="s">
        <v>326</v>
      </c>
      <c r="C3" s="115" t="s">
        <v>591</v>
      </c>
    </row>
    <row r="4" spans="1:3" ht="18.75" customHeight="1">
      <c r="A4" s="120" t="s">
        <v>88</v>
      </c>
      <c r="B4" s="121" t="s">
        <v>151</v>
      </c>
      <c r="C4" s="115" t="s">
        <v>159</v>
      </c>
    </row>
    <row r="5" spans="1:3" ht="18.75" customHeight="1">
      <c r="A5" s="116" t="s">
        <v>227</v>
      </c>
      <c r="B5" s="117" t="s">
        <v>151</v>
      </c>
      <c r="C5" s="115" t="s">
        <v>235</v>
      </c>
    </row>
    <row r="6" spans="1:3" ht="18.75" customHeight="1">
      <c r="A6" s="116" t="s">
        <v>228</v>
      </c>
      <c r="B6" s="117" t="s">
        <v>151</v>
      </c>
      <c r="C6" s="115" t="s">
        <v>233</v>
      </c>
    </row>
    <row r="7" spans="1:3" ht="18.75" customHeight="1">
      <c r="A7" s="116" t="s">
        <v>229</v>
      </c>
      <c r="B7" s="117" t="s">
        <v>151</v>
      </c>
      <c r="C7" s="115" t="s">
        <v>236</v>
      </c>
    </row>
    <row r="8" spans="1:3" ht="18.75" customHeight="1">
      <c r="A8" s="116" t="s">
        <v>230</v>
      </c>
      <c r="B8" s="117" t="s">
        <v>151</v>
      </c>
      <c r="C8" s="115" t="s">
        <v>240</v>
      </c>
    </row>
    <row r="9" spans="1:3" ht="18.75" customHeight="1">
      <c r="A9" s="116" t="s">
        <v>231</v>
      </c>
      <c r="B9" s="117" t="s">
        <v>151</v>
      </c>
      <c r="C9" s="115" t="s">
        <v>257</v>
      </c>
    </row>
    <row r="10" spans="1:3" ht="18.75" customHeight="1">
      <c r="A10" s="116" t="s">
        <v>243</v>
      </c>
      <c r="B10" s="117" t="s">
        <v>151</v>
      </c>
      <c r="C10" s="115" t="s">
        <v>242</v>
      </c>
    </row>
    <row r="11" spans="1:3" ht="18.75" customHeight="1">
      <c r="A11" s="116" t="s">
        <v>244</v>
      </c>
      <c r="B11" s="117" t="s">
        <v>151</v>
      </c>
      <c r="C11" s="115" t="s">
        <v>245</v>
      </c>
    </row>
    <row r="12" spans="1:3" ht="18.75" customHeight="1">
      <c r="A12" s="116" t="s">
        <v>232</v>
      </c>
      <c r="B12" s="117" t="s">
        <v>151</v>
      </c>
      <c r="C12" s="115" t="s">
        <v>258</v>
      </c>
    </row>
    <row r="13" spans="1:3" ht="18.75" customHeight="1">
      <c r="A13" s="116" t="s">
        <v>237</v>
      </c>
      <c r="B13" s="117" t="s">
        <v>151</v>
      </c>
      <c r="C13" s="115" t="s">
        <v>238</v>
      </c>
    </row>
    <row r="14" spans="1:3" ht="18.75" customHeight="1">
      <c r="A14" s="116" t="s">
        <v>239</v>
      </c>
      <c r="B14" s="117" t="s">
        <v>151</v>
      </c>
      <c r="C14" s="115" t="s">
        <v>241</v>
      </c>
    </row>
    <row r="15" spans="1:3" ht="18.75" customHeight="1">
      <c r="A15" s="116" t="s">
        <v>414</v>
      </c>
      <c r="B15" s="117" t="s">
        <v>151</v>
      </c>
      <c r="C15" s="115" t="s">
        <v>592</v>
      </c>
    </row>
    <row r="16" spans="1:3" ht="20.25" customHeight="1">
      <c r="A16" s="116" t="s">
        <v>273</v>
      </c>
      <c r="B16" s="122" t="s">
        <v>344</v>
      </c>
      <c r="C16" s="115" t="s">
        <v>257</v>
      </c>
    </row>
    <row r="17" spans="1:3" ht="20.25" customHeight="1">
      <c r="A17" s="116" t="s">
        <v>274</v>
      </c>
      <c r="B17" s="122" t="s">
        <v>275</v>
      </c>
      <c r="C17" s="115" t="s">
        <v>245</v>
      </c>
    </row>
    <row r="18" spans="1:3" ht="20.25" customHeight="1">
      <c r="A18" s="116" t="s">
        <v>325</v>
      </c>
      <c r="B18" s="122" t="s">
        <v>326</v>
      </c>
      <c r="C18" s="115" t="s">
        <v>327</v>
      </c>
    </row>
    <row r="19" spans="1:3" ht="25.5" customHeight="1">
      <c r="A19" s="123" t="s">
        <v>219</v>
      </c>
      <c r="B19" s="124" t="s">
        <v>220</v>
      </c>
      <c r="C19" s="115" t="s">
        <v>137</v>
      </c>
    </row>
    <row r="20" spans="1:3" ht="30.75" customHeight="1">
      <c r="A20" s="68" t="s">
        <v>412</v>
      </c>
      <c r="B20" s="69" t="s">
        <v>218</v>
      </c>
      <c r="C20" s="115"/>
    </row>
    <row r="21" spans="1:3" ht="18.75" customHeight="1">
      <c r="A21" s="22" t="s">
        <v>413</v>
      </c>
      <c r="B21" s="23" t="s">
        <v>175</v>
      </c>
      <c r="C21" s="115"/>
    </row>
    <row r="22" spans="1:3" ht="27" customHeight="1">
      <c r="A22" s="24" t="s">
        <v>411</v>
      </c>
      <c r="B22" s="25" t="s">
        <v>176</v>
      </c>
      <c r="C22" s="115" t="s">
        <v>138</v>
      </c>
    </row>
    <row r="23" spans="1:3" ht="27" customHeight="1">
      <c r="A23" s="24" t="s">
        <v>427</v>
      </c>
      <c r="B23" s="25" t="s">
        <v>177</v>
      </c>
      <c r="C23" s="115" t="s">
        <v>138</v>
      </c>
    </row>
    <row r="24" spans="1:3" ht="27" customHeight="1">
      <c r="A24" s="24" t="s">
        <v>428</v>
      </c>
      <c r="B24" s="25" t="s">
        <v>180</v>
      </c>
      <c r="C24" s="115" t="s">
        <v>138</v>
      </c>
    </row>
    <row r="25" spans="1:3" ht="18" customHeight="1">
      <c r="A25" s="24" t="s">
        <v>476</v>
      </c>
      <c r="B25" s="25"/>
      <c r="C25" s="115"/>
    </row>
    <row r="26" spans="1:3" ht="19.5" customHeight="1">
      <c r="A26" s="24" t="s">
        <v>475</v>
      </c>
      <c r="B26" s="25" t="s">
        <v>184</v>
      </c>
      <c r="C26" s="115" t="s">
        <v>139</v>
      </c>
    </row>
    <row r="27" spans="1:3">
      <c r="A27" s="22" t="s">
        <v>278</v>
      </c>
      <c r="B27" s="23" t="s">
        <v>221</v>
      </c>
    </row>
    <row r="28" spans="1:3">
      <c r="A28" s="24" t="s">
        <v>279</v>
      </c>
      <c r="B28" s="25" t="s">
        <v>178</v>
      </c>
      <c r="C28" s="115" t="s">
        <v>138</v>
      </c>
    </row>
    <row r="29" spans="1:3">
      <c r="A29" s="24" t="s">
        <v>280</v>
      </c>
      <c r="B29" s="25" t="s">
        <v>46</v>
      </c>
      <c r="C29" s="115" t="s">
        <v>138</v>
      </c>
    </row>
    <row r="30" spans="1:3">
      <c r="A30" s="24" t="s">
        <v>281</v>
      </c>
      <c r="B30" s="25" t="s">
        <v>47</v>
      </c>
      <c r="C30" s="115" t="s">
        <v>138</v>
      </c>
    </row>
    <row r="31" spans="1:3" ht="26.4">
      <c r="A31" s="24" t="s">
        <v>282</v>
      </c>
      <c r="B31" s="25" t="s">
        <v>107</v>
      </c>
      <c r="C31" s="115" t="s">
        <v>138</v>
      </c>
    </row>
    <row r="32" spans="1:3" ht="26.4">
      <c r="A32" s="22" t="s">
        <v>108</v>
      </c>
      <c r="B32" s="23" t="s">
        <v>222</v>
      </c>
    </row>
    <row r="33" spans="1:3">
      <c r="A33" s="24" t="s">
        <v>109</v>
      </c>
      <c r="B33" s="25" t="s">
        <v>179</v>
      </c>
      <c r="C33" s="115" t="s">
        <v>138</v>
      </c>
    </row>
    <row r="34" spans="1:3" ht="26.4">
      <c r="A34" s="24" t="s">
        <v>110</v>
      </c>
      <c r="B34" s="25" t="s">
        <v>181</v>
      </c>
      <c r="C34" s="115" t="s">
        <v>138</v>
      </c>
    </row>
    <row r="35" spans="1:3">
      <c r="A35" s="24" t="s">
        <v>283</v>
      </c>
      <c r="B35" s="25" t="s">
        <v>182</v>
      </c>
      <c r="C35" s="115" t="s">
        <v>138</v>
      </c>
    </row>
    <row r="36" spans="1:3" ht="26.4">
      <c r="A36" s="24" t="s">
        <v>284</v>
      </c>
      <c r="B36" s="25" t="s">
        <v>111</v>
      </c>
      <c r="C36" s="115" t="s">
        <v>138</v>
      </c>
    </row>
    <row r="37" spans="1:3" ht="39.6">
      <c r="A37" s="22" t="s">
        <v>152</v>
      </c>
      <c r="B37" s="23" t="s">
        <v>183</v>
      </c>
    </row>
    <row r="38" spans="1:3">
      <c r="A38" s="24" t="s">
        <v>153</v>
      </c>
      <c r="B38" s="25" t="s">
        <v>184</v>
      </c>
      <c r="C38" s="115" t="s">
        <v>138</v>
      </c>
    </row>
    <row r="39" spans="1:3">
      <c r="A39" s="32" t="s">
        <v>263</v>
      </c>
      <c r="B39" s="33" t="s">
        <v>48</v>
      </c>
    </row>
    <row r="40" spans="1:3">
      <c r="A40" s="34" t="s">
        <v>264</v>
      </c>
      <c r="B40" s="35" t="s">
        <v>186</v>
      </c>
      <c r="C40" s="115" t="s">
        <v>207</v>
      </c>
    </row>
    <row r="41" spans="1:3">
      <c r="A41" s="34" t="s">
        <v>265</v>
      </c>
      <c r="B41" s="36" t="s">
        <v>185</v>
      </c>
      <c r="C41" s="115" t="s">
        <v>138</v>
      </c>
    </row>
    <row r="42" spans="1:3">
      <c r="A42" s="24"/>
      <c r="B42" s="36" t="s">
        <v>49</v>
      </c>
      <c r="C42" s="115" t="s">
        <v>136</v>
      </c>
    </row>
    <row r="43" spans="1:3">
      <c r="A43" s="20" t="s">
        <v>98</v>
      </c>
      <c r="B43" s="21" t="s">
        <v>112</v>
      </c>
      <c r="C43" s="115"/>
    </row>
    <row r="44" spans="1:3">
      <c r="A44" s="22" t="s">
        <v>187</v>
      </c>
      <c r="B44" s="23" t="s">
        <v>217</v>
      </c>
      <c r="C44" s="115"/>
    </row>
    <row r="45" spans="1:3">
      <c r="A45" s="24" t="s">
        <v>188</v>
      </c>
      <c r="B45" s="25" t="s">
        <v>103</v>
      </c>
      <c r="C45" s="115" t="s">
        <v>138</v>
      </c>
    </row>
    <row r="46" spans="1:3" ht="26.4">
      <c r="A46" s="22" t="s">
        <v>155</v>
      </c>
      <c r="B46" s="23" t="s">
        <v>189</v>
      </c>
      <c r="C46" s="115"/>
    </row>
    <row r="47" spans="1:3">
      <c r="A47" s="24" t="s">
        <v>156</v>
      </c>
      <c r="B47" s="25" t="s">
        <v>190</v>
      </c>
      <c r="C47" s="115" t="s">
        <v>259</v>
      </c>
    </row>
    <row r="48" spans="1:3" ht="26.4">
      <c r="A48" s="24" t="s">
        <v>191</v>
      </c>
      <c r="B48" s="25" t="s">
        <v>192</v>
      </c>
      <c r="C48" s="115" t="s">
        <v>259</v>
      </c>
    </row>
    <row r="49" spans="1:14" ht="26.4">
      <c r="A49" s="24" t="s">
        <v>247</v>
      </c>
      <c r="B49" s="25" t="s">
        <v>248</v>
      </c>
      <c r="C49" s="115" t="s">
        <v>138</v>
      </c>
    </row>
    <row r="50" spans="1:14">
      <c r="A50" s="26" t="s">
        <v>157</v>
      </c>
      <c r="B50" s="23" t="s">
        <v>154</v>
      </c>
      <c r="C50" s="115"/>
    </row>
    <row r="51" spans="1:14">
      <c r="A51" s="27" t="s">
        <v>158</v>
      </c>
      <c r="B51" s="25" t="s">
        <v>271</v>
      </c>
      <c r="C51" s="115" t="s">
        <v>259</v>
      </c>
    </row>
    <row r="52" spans="1:14">
      <c r="A52" s="20" t="s">
        <v>113</v>
      </c>
      <c r="B52" s="21" t="s">
        <v>114</v>
      </c>
      <c r="C52" s="115"/>
    </row>
    <row r="53" spans="1:14">
      <c r="A53" s="22" t="s">
        <v>115</v>
      </c>
      <c r="B53" s="23" t="s">
        <v>116</v>
      </c>
      <c r="C53" s="115"/>
    </row>
    <row r="54" spans="1:14">
      <c r="A54" s="24" t="s">
        <v>286</v>
      </c>
      <c r="B54" s="25" t="s">
        <v>193</v>
      </c>
      <c r="C54" s="115" t="s">
        <v>260</v>
      </c>
    </row>
    <row r="55" spans="1:14" ht="26.4">
      <c r="A55" s="24" t="s">
        <v>194</v>
      </c>
      <c r="B55" s="25" t="s">
        <v>167</v>
      </c>
      <c r="C55" s="115" t="s">
        <v>260</v>
      </c>
    </row>
    <row r="56" spans="1:14" ht="26.4">
      <c r="A56" s="22" t="s">
        <v>117</v>
      </c>
      <c r="B56" s="23" t="s">
        <v>285</v>
      </c>
      <c r="C56" s="115"/>
    </row>
    <row r="57" spans="1:14">
      <c r="A57" s="24" t="s">
        <v>118</v>
      </c>
      <c r="B57" s="25" t="s">
        <v>195</v>
      </c>
      <c r="C57" s="115" t="s">
        <v>138</v>
      </c>
    </row>
    <row r="58" spans="1:14" ht="21.75" customHeight="1">
      <c r="A58" s="22" t="s">
        <v>119</v>
      </c>
      <c r="B58" s="23" t="s">
        <v>287</v>
      </c>
      <c r="C58" s="115"/>
    </row>
    <row r="59" spans="1:14" ht="19.5" customHeight="1">
      <c r="A59" s="24" t="s">
        <v>292</v>
      </c>
      <c r="B59" s="25" t="s">
        <v>297</v>
      </c>
      <c r="C59" s="115" t="s">
        <v>259</v>
      </c>
    </row>
    <row r="60" spans="1:14" ht="19.5" customHeight="1">
      <c r="A60" s="24" t="s">
        <v>293</v>
      </c>
      <c r="B60" s="25" t="s">
        <v>196</v>
      </c>
      <c r="C60" s="115" t="s">
        <v>259</v>
      </c>
    </row>
    <row r="61" spans="1:14" ht="21.75" customHeight="1">
      <c r="A61" s="22" t="s">
        <v>288</v>
      </c>
      <c r="B61" s="23" t="s">
        <v>289</v>
      </c>
      <c r="C61" s="115"/>
    </row>
    <row r="62" spans="1:14" ht="22.5" customHeight="1">
      <c r="A62" s="24" t="s">
        <v>294</v>
      </c>
      <c r="B62" s="25" t="s">
        <v>197</v>
      </c>
      <c r="C62" s="115" t="s">
        <v>259</v>
      </c>
    </row>
    <row r="63" spans="1:14">
      <c r="A63" s="22" t="s">
        <v>290</v>
      </c>
      <c r="B63" s="23" t="s">
        <v>291</v>
      </c>
      <c r="C63" s="115"/>
      <c r="N63">
        <v>25262491.465999998</v>
      </c>
    </row>
    <row r="64" spans="1:14" ht="21" customHeight="1">
      <c r="A64" s="24" t="s">
        <v>298</v>
      </c>
      <c r="B64" s="25" t="s">
        <v>299</v>
      </c>
      <c r="C64" s="115" t="s">
        <v>138</v>
      </c>
    </row>
    <row r="65" spans="1:3" ht="21" customHeight="1">
      <c r="A65" s="24" t="s">
        <v>295</v>
      </c>
      <c r="B65" s="25" t="s">
        <v>249</v>
      </c>
      <c r="C65" s="115" t="s">
        <v>138</v>
      </c>
    </row>
    <row r="66" spans="1:3" ht="21" customHeight="1">
      <c r="A66" s="24" t="s">
        <v>296</v>
      </c>
      <c r="B66" s="25" t="s">
        <v>171</v>
      </c>
      <c r="C66" s="115" t="s">
        <v>259</v>
      </c>
    </row>
    <row r="67" spans="1:3">
      <c r="A67" s="22" t="s">
        <v>315</v>
      </c>
      <c r="B67" s="23" t="s">
        <v>198</v>
      </c>
      <c r="C67" s="115"/>
    </row>
    <row r="68" spans="1:3" ht="16.5" customHeight="1">
      <c r="A68" s="24" t="s">
        <v>316</v>
      </c>
      <c r="B68" s="25" t="s">
        <v>199</v>
      </c>
      <c r="C68" s="115" t="s">
        <v>260</v>
      </c>
    </row>
    <row r="69" spans="1:3" ht="16.5" customHeight="1">
      <c r="A69" s="24" t="s">
        <v>314</v>
      </c>
      <c r="B69" s="25" t="s">
        <v>168</v>
      </c>
      <c r="C69" s="115" t="s">
        <v>260</v>
      </c>
    </row>
    <row r="70" spans="1:3" ht="16.5" customHeight="1">
      <c r="A70" s="24" t="s">
        <v>317</v>
      </c>
      <c r="B70" s="25" t="s">
        <v>200</v>
      </c>
      <c r="C70" s="115" t="s">
        <v>260</v>
      </c>
    </row>
    <row r="71" spans="1:3" ht="30" customHeight="1">
      <c r="A71" s="70" t="s">
        <v>120</v>
      </c>
      <c r="B71" s="71" t="s">
        <v>121</v>
      </c>
      <c r="C71" s="115"/>
    </row>
    <row r="72" spans="1:3">
      <c r="A72" s="22" t="s">
        <v>122</v>
      </c>
      <c r="B72" s="23" t="s">
        <v>123</v>
      </c>
      <c r="C72" s="115"/>
    </row>
    <row r="73" spans="1:3" ht="26.4">
      <c r="A73" s="24" t="s">
        <v>124</v>
      </c>
      <c r="B73" s="25" t="s">
        <v>272</v>
      </c>
      <c r="C73" s="115" t="s">
        <v>139</v>
      </c>
    </row>
    <row r="74" spans="1:3" ht="26.4">
      <c r="A74" s="24" t="s">
        <v>125</v>
      </c>
      <c r="B74" s="25" t="s">
        <v>216</v>
      </c>
      <c r="C74" s="115" t="s">
        <v>139</v>
      </c>
    </row>
    <row r="75" spans="1:3" ht="26.4">
      <c r="A75" s="24" t="s">
        <v>126</v>
      </c>
      <c r="B75" s="25" t="s">
        <v>127</v>
      </c>
      <c r="C75" s="115" t="s">
        <v>139</v>
      </c>
    </row>
    <row r="76" spans="1:3" ht="26.4">
      <c r="A76" s="24" t="s">
        <v>128</v>
      </c>
      <c r="B76" s="25" t="s">
        <v>201</v>
      </c>
      <c r="C76" s="115" t="s">
        <v>139</v>
      </c>
    </row>
    <row r="77" spans="1:3" ht="26.4">
      <c r="A77" s="24" t="s">
        <v>129</v>
      </c>
      <c r="B77" s="25" t="s">
        <v>169</v>
      </c>
      <c r="C77" s="115" t="s">
        <v>139</v>
      </c>
    </row>
    <row r="78" spans="1:3" ht="26.4">
      <c r="A78" s="24" t="s">
        <v>130</v>
      </c>
      <c r="B78" s="25" t="s">
        <v>202</v>
      </c>
      <c r="C78" s="115" t="s">
        <v>139</v>
      </c>
    </row>
    <row r="79" spans="1:3" ht="26.4">
      <c r="A79" s="48" t="s">
        <v>131</v>
      </c>
      <c r="B79" s="49" t="s">
        <v>203</v>
      </c>
      <c r="C79" s="115" t="s">
        <v>139</v>
      </c>
    </row>
    <row r="80" spans="1:3" ht="26.4">
      <c r="A80" s="24" t="s">
        <v>313</v>
      </c>
      <c r="B80" s="25" t="s">
        <v>277</v>
      </c>
      <c r="C80" s="115"/>
    </row>
    <row r="81" spans="1:3">
      <c r="A81" s="24" t="s">
        <v>309</v>
      </c>
      <c r="B81" s="25" t="s">
        <v>308</v>
      </c>
      <c r="C81" s="115" t="s">
        <v>139</v>
      </c>
    </row>
    <row r="82" spans="1:3" ht="21.75" customHeight="1">
      <c r="A82" s="22" t="s">
        <v>132</v>
      </c>
      <c r="B82" s="23" t="s">
        <v>133</v>
      </c>
      <c r="C82" s="115"/>
    </row>
    <row r="83" spans="1:3">
      <c r="A83" s="24" t="s">
        <v>134</v>
      </c>
      <c r="B83" s="25" t="s">
        <v>205</v>
      </c>
      <c r="C83" s="115" t="s">
        <v>234</v>
      </c>
    </row>
    <row r="84" spans="1:3" ht="26.4">
      <c r="A84" s="24" t="s">
        <v>135</v>
      </c>
      <c r="B84" s="25" t="s">
        <v>206</v>
      </c>
      <c r="C84" s="115" t="s">
        <v>234</v>
      </c>
    </row>
    <row r="85" spans="1:3" ht="26.4">
      <c r="A85" s="24" t="s">
        <v>276</v>
      </c>
      <c r="B85" s="25" t="s">
        <v>277</v>
      </c>
      <c r="C85" s="115" t="s">
        <v>234</v>
      </c>
    </row>
    <row r="86" spans="1:3" ht="26.4">
      <c r="A86" s="24" t="s">
        <v>318</v>
      </c>
      <c r="B86" s="25" t="s">
        <v>319</v>
      </c>
      <c r="C86" s="115" t="s">
        <v>234</v>
      </c>
    </row>
    <row r="87" spans="1:3" ht="23.25" customHeight="1">
      <c r="A87" s="22" t="s">
        <v>209</v>
      </c>
      <c r="B87" s="23" t="s">
        <v>213</v>
      </c>
      <c r="C87" s="115"/>
    </row>
    <row r="88" spans="1:3" ht="27" customHeight="1">
      <c r="A88" s="24" t="s">
        <v>210</v>
      </c>
      <c r="B88" s="25" t="s">
        <v>204</v>
      </c>
      <c r="C88" s="115" t="s">
        <v>261</v>
      </c>
    </row>
    <row r="89" spans="1:3" ht="27" customHeight="1">
      <c r="A89" s="24" t="s">
        <v>211</v>
      </c>
      <c r="B89" s="25" t="s">
        <v>214</v>
      </c>
      <c r="C89" s="115" t="s">
        <v>261</v>
      </c>
    </row>
    <row r="90" spans="1:3" ht="27" customHeight="1">
      <c r="A90" s="24" t="s">
        <v>212</v>
      </c>
      <c r="B90" s="25" t="s">
        <v>215</v>
      </c>
      <c r="C90" s="115" t="s">
        <v>261</v>
      </c>
    </row>
    <row r="91" spans="1:3" ht="24.75" customHeight="1">
      <c r="A91" s="68" t="s">
        <v>262</v>
      </c>
      <c r="B91" s="69" t="s">
        <v>425</v>
      </c>
      <c r="C91" s="115"/>
    </row>
    <row r="92" spans="1:3" ht="20.25" customHeight="1">
      <c r="A92" s="24" t="s">
        <v>264</v>
      </c>
      <c r="B92" s="25" t="s">
        <v>422</v>
      </c>
      <c r="C92" s="115" t="s">
        <v>426</v>
      </c>
    </row>
    <row r="93" spans="1:3" ht="20.25" customHeight="1">
      <c r="A93" s="24" t="s">
        <v>265</v>
      </c>
      <c r="B93" s="25" t="s">
        <v>185</v>
      </c>
      <c r="C93" s="115" t="s">
        <v>418</v>
      </c>
    </row>
    <row r="94" spans="1:3" ht="20.25" customHeight="1">
      <c r="A94" s="24" t="s">
        <v>266</v>
      </c>
      <c r="B94" s="25" t="s">
        <v>267</v>
      </c>
      <c r="C94" s="115" t="s">
        <v>423</v>
      </c>
    </row>
    <row r="95" spans="1:3" ht="20.25" customHeight="1">
      <c r="A95" s="24" t="s">
        <v>420</v>
      </c>
      <c r="B95" s="25" t="s">
        <v>268</v>
      </c>
      <c r="C95" s="115" t="s">
        <v>423</v>
      </c>
    </row>
    <row r="96" spans="1:3" ht="29.25" customHeight="1">
      <c r="A96" s="24" t="s">
        <v>421</v>
      </c>
      <c r="B96" s="25" t="s">
        <v>310</v>
      </c>
      <c r="C96" s="115" t="s">
        <v>423</v>
      </c>
    </row>
    <row r="97" spans="1:3" ht="21" customHeight="1">
      <c r="A97" s="68" t="s">
        <v>419</v>
      </c>
      <c r="B97" s="69" t="s">
        <v>424</v>
      </c>
    </row>
    <row r="98" spans="1:3" ht="20.25" customHeight="1">
      <c r="A98" s="24" t="s">
        <v>342</v>
      </c>
      <c r="B98" s="25" t="s">
        <v>269</v>
      </c>
      <c r="C98" s="115" t="s">
        <v>417</v>
      </c>
    </row>
    <row r="99" spans="1:3" ht="20.25" customHeight="1">
      <c r="A99" s="24" t="s">
        <v>415</v>
      </c>
      <c r="B99" s="25" t="s">
        <v>416</v>
      </c>
      <c r="C99" s="115" t="s">
        <v>418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გეგმა 2021</vt:lpstr>
      <vt:lpstr>list</vt:lpstr>
      <vt:lpstr>budget</vt:lpstr>
      <vt:lpstr>'გეგმა 2021'!Заголовки_для_печати</vt:lpstr>
      <vt:lpstr>'გეგმა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2021-10-06T11:40:36Z</dcterms:modified>
</cp:coreProperties>
</file>